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47"/>
  </bookViews>
  <sheets>
    <sheet name="国贸合计" sheetId="3" r:id="rId1"/>
    <sheet name="维保包干费明细" sheetId="1" r:id="rId2"/>
    <sheet name="维修包干费明细" sheetId="2" r:id="rId3"/>
    <sheet name="应扣工资明细" sheetId="4" r:id="rId4"/>
    <sheet name="已发包干费明细" sheetId="5" r:id="rId5"/>
    <sheet name="应扣材料费明细" sheetId="6" r:id="rId6"/>
    <sheet name="第二次补扣明细" sheetId="8" r:id="rId7"/>
    <sheet name="Sheet1" sheetId="7" r:id="rId8"/>
  </sheets>
  <externalReferences>
    <externalReference r:id="rId10"/>
  </externalReferences>
  <definedNames>
    <definedName name="_xlnm._FilterDatabase" localSheetId="1" hidden="1">维保包干费明细!$A$1:$AB$43</definedName>
    <definedName name="_xlnm._FilterDatabase" localSheetId="7" hidden="1">Sheet1!$I$2:$I$43</definedName>
    <definedName name="业务类别">[1]数据标准设置!$D$3:$D$22</definedName>
    <definedName name="设备类型">[1]数据标准设置!$F$3:$F$22</definedName>
    <definedName name="项目名称">[1]数据标准设置!$H$3:$H$1000</definedName>
    <definedName name="规格单位">[1]数据标准设置!$G$3:$G$22</definedName>
  </definedNames>
  <calcPr calcId="144525"/>
</workbook>
</file>

<file path=xl/sharedStrings.xml><?xml version="1.0" encoding="utf-8"?>
<sst xmlns="http://schemas.openxmlformats.org/spreadsheetml/2006/main" count="882" uniqueCount="152">
  <si>
    <t>国贸维修组2021财年包干费核算表</t>
  </si>
  <si>
    <t>类别</t>
  </si>
  <si>
    <t>金额</t>
  </si>
  <si>
    <t>备注</t>
  </si>
  <si>
    <t>应发</t>
  </si>
  <si>
    <t>2021财年维保包干费总额</t>
  </si>
  <si>
    <t>截至2021.3.31日</t>
  </si>
  <si>
    <t>2021财年维修包干费总金额</t>
  </si>
  <si>
    <t>截至2021.12.20日</t>
  </si>
  <si>
    <t>小计</t>
  </si>
  <si>
    <t>应扣</t>
  </si>
  <si>
    <t>2021年4-5月包干费已发</t>
  </si>
  <si>
    <t>2021年6-2022年3月社保工资</t>
  </si>
  <si>
    <t>应扣材料费明细</t>
  </si>
  <si>
    <t>部门剩余包干费</t>
  </si>
  <si>
    <t>包干费预支金额</t>
  </si>
  <si>
    <t>于第一次结算中扣除</t>
  </si>
  <si>
    <t>第一次结算</t>
  </si>
  <si>
    <t>年前付70%</t>
  </si>
  <si>
    <t>个人负担税款</t>
  </si>
  <si>
    <t>包干费结算金额</t>
  </si>
  <si>
    <t>单位负担税款</t>
  </si>
  <si>
    <t>平台付款金额</t>
  </si>
  <si>
    <t>含预支款100000</t>
  </si>
  <si>
    <t>第二次结算</t>
  </si>
  <si>
    <t>2021-4-15付30%</t>
  </si>
  <si>
    <t>项目负责人</t>
  </si>
  <si>
    <t>万树壮</t>
  </si>
  <si>
    <t>项目名称</t>
  </si>
  <si>
    <t>设备类型</t>
  </si>
  <si>
    <t>设备品牌</t>
  </si>
  <si>
    <t>规格值</t>
  </si>
  <si>
    <t>规格单位</t>
  </si>
  <si>
    <t>数量</t>
  </si>
  <si>
    <t>单价</t>
  </si>
  <si>
    <t>包干费</t>
  </si>
  <si>
    <t>远程费</t>
  </si>
  <si>
    <t>扣除</t>
  </si>
  <si>
    <t>交付总额</t>
  </si>
  <si>
    <t>巡检次数</t>
  </si>
  <si>
    <t>巡检金额</t>
  </si>
  <si>
    <t>占比</t>
  </si>
  <si>
    <t>抢修金额</t>
  </si>
  <si>
    <t>制冷前保养金额</t>
  </si>
  <si>
    <t>采暖前保养金额</t>
  </si>
  <si>
    <t>项目开始日期</t>
  </si>
  <si>
    <t>项目结束日期</t>
  </si>
  <si>
    <t>日期差</t>
  </si>
  <si>
    <t>分配总占比</t>
  </si>
  <si>
    <t>唯一标识统计</t>
  </si>
  <si>
    <t>明发广场</t>
  </si>
  <si>
    <t>保养</t>
  </si>
  <si>
    <t>溴化锂机组</t>
  </si>
  <si>
    <t>同方川崎</t>
  </si>
  <si>
    <t/>
  </si>
  <si>
    <t>锅炉</t>
  </si>
  <si>
    <t>华润协鑫</t>
  </si>
  <si>
    <t>双良</t>
  </si>
  <si>
    <t>中泽农</t>
  </si>
  <si>
    <t>通惠大厦</t>
  </si>
  <si>
    <t>LG</t>
  </si>
  <si>
    <t>富力万丽</t>
  </si>
  <si>
    <t>松下</t>
  </si>
  <si>
    <t>冷却塔</t>
  </si>
  <si>
    <t>水处理</t>
  </si>
  <si>
    <t>梅地亚</t>
  </si>
  <si>
    <t>多级补水泵</t>
  </si>
  <si>
    <t>卧式离心泵</t>
  </si>
  <si>
    <t>亦庄华油</t>
  </si>
  <si>
    <t>远大</t>
  </si>
  <si>
    <t>金三环宾馆</t>
  </si>
  <si>
    <t>只发放制冷保养费</t>
  </si>
  <si>
    <t>国粹苑</t>
  </si>
  <si>
    <t>三洋</t>
  </si>
  <si>
    <t>东方文创</t>
  </si>
  <si>
    <t>汇金中心</t>
  </si>
  <si>
    <t>天津颐居</t>
  </si>
  <si>
    <t>能源管理合同未谈妥，合同未续约，但是前期换季保养都做了</t>
  </si>
  <si>
    <t>劝宝超市</t>
  </si>
  <si>
    <t>劝宝新都汇</t>
  </si>
  <si>
    <t>济南五洲酒店</t>
  </si>
  <si>
    <t>立式离心泵</t>
  </si>
  <si>
    <t>开拓热力七场</t>
  </si>
  <si>
    <t>开拓热力五厂</t>
  </si>
  <si>
    <t>开拓万源公司</t>
  </si>
  <si>
    <t>开拓兴瑞公司</t>
  </si>
  <si>
    <t>朗诗大厦</t>
  </si>
  <si>
    <t>连城</t>
  </si>
  <si>
    <t>斯频德</t>
  </si>
  <si>
    <t>秦皇岛明珠广场</t>
  </si>
  <si>
    <t>天一大厦</t>
  </si>
  <si>
    <t>采暖保养未做，</t>
  </si>
  <si>
    <t>12月未巡检（到客户单位门口了，甲方没让进去）</t>
  </si>
  <si>
    <t>宇达</t>
  </si>
  <si>
    <t>壁挂炉</t>
  </si>
  <si>
    <t>包干费金额</t>
  </si>
  <si>
    <t>第一次结算金额</t>
  </si>
  <si>
    <t>余额</t>
  </si>
  <si>
    <t>第二次结算金额</t>
  </si>
  <si>
    <t>第三次结算金额</t>
  </si>
  <si>
    <t>客服验收</t>
  </si>
  <si>
    <t>天津天宝</t>
  </si>
  <si>
    <t>4月至6月维修项目费用（单据齐全）</t>
  </si>
  <si>
    <t>平和灯饰城1</t>
  </si>
  <si>
    <t>程田古玩城</t>
  </si>
  <si>
    <t>天津汉沽酒店</t>
  </si>
  <si>
    <t>平和灯饰城</t>
  </si>
  <si>
    <t>西城法院</t>
  </si>
  <si>
    <t>东亿传媒</t>
  </si>
  <si>
    <t>4月至6月维修项目费用(质保金）（单据齐全）</t>
  </si>
  <si>
    <t>新疆华泰重工</t>
  </si>
  <si>
    <t>6月至10月维修项目费用（单据齐全）</t>
  </si>
  <si>
    <t>华亨国际</t>
  </si>
  <si>
    <t>新一百</t>
  </si>
  <si>
    <t>长阳CSD</t>
  </si>
  <si>
    <t>5458.8（未扣除药剂等费用，推迟结算）</t>
  </si>
  <si>
    <t>6月至10月维修项目费用（跟上面重复）</t>
  </si>
  <si>
    <t>中坤广场</t>
  </si>
  <si>
    <t>6月至10月维修项目费用（未签验收单）</t>
  </si>
  <si>
    <t>华严北里锅炉</t>
  </si>
  <si>
    <t>和谐大厦锅炉</t>
  </si>
  <si>
    <t>富地广场</t>
  </si>
  <si>
    <t>6月至10月维修项目费用（风机盘管清洗没有单据）</t>
  </si>
  <si>
    <t>沁园公寓</t>
  </si>
  <si>
    <t>6月至10月维修项目费用（无单据）</t>
  </si>
  <si>
    <t>鼎昆大厦</t>
  </si>
  <si>
    <t>韩太汽车</t>
  </si>
  <si>
    <t>（单据齐全）</t>
  </si>
  <si>
    <t>李家大院</t>
  </si>
  <si>
    <t>合计</t>
  </si>
  <si>
    <t>应扣工资明细</t>
  </si>
  <si>
    <t>姓名</t>
  </si>
  <si>
    <t>赵坤宇</t>
  </si>
  <si>
    <t>国贸材料费金额</t>
  </si>
  <si>
    <t>国贸项目组2022.1.1-2022.3.31材料出库明细表</t>
  </si>
  <si>
    <t>领用日期</t>
  </si>
  <si>
    <t>项目</t>
  </si>
  <si>
    <t>材料名称</t>
  </si>
  <si>
    <t>小计金额：</t>
  </si>
  <si>
    <t>国贸项目组2022.1.1-2022.3.31客服扣款明细</t>
  </si>
  <si>
    <t>合计金额：</t>
  </si>
  <si>
    <t>国贸维修组2021财年项目运行技术服务费结算表</t>
  </si>
  <si>
    <t>结算金额</t>
  </si>
  <si>
    <t>税款</t>
  </si>
  <si>
    <t>实付金额</t>
  </si>
  <si>
    <t>项目分类</t>
  </si>
  <si>
    <t>用工结算人</t>
  </si>
  <si>
    <t>项目技术服务费</t>
  </si>
  <si>
    <t>丛颖</t>
  </si>
  <si>
    <t>维修</t>
  </si>
  <si>
    <t>已结算付款：184919.18元，其余款项进行挂账处理23161.81元</t>
  </si>
  <si>
    <t>项目负责人：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</si>
</sst>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177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77" fontId="1" fillId="0" borderId="1" xfId="0" applyNumberFormat="1" applyFont="1" applyFill="1" applyBorder="1" applyAlignment="1" applyProtection="1">
      <alignment horizontal="left" vertical="center"/>
      <protection locked="0"/>
    </xf>
    <xf numFmtId="177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</xf>
    <xf numFmtId="177" fontId="11" fillId="0" borderId="1" xfId="0" applyNumberFormat="1" applyFont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177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left" vertical="center"/>
    </xf>
    <xf numFmtId="177" fontId="11" fillId="0" borderId="2" xfId="0" applyNumberFormat="1" applyFont="1" applyFill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177" fontId="11" fillId="0" borderId="1" xfId="0" applyNumberFormat="1" applyFont="1" applyBorder="1" applyAlignment="1" applyProtection="1">
      <alignment horizontal="left" vertical="center"/>
      <protection locked="0"/>
    </xf>
    <xf numFmtId="9" fontId="11" fillId="0" borderId="1" xfId="0" applyNumberFormat="1" applyFont="1" applyBorder="1" applyAlignment="1" applyProtection="1">
      <alignment horizontal="left" vertical="center"/>
      <protection locked="0"/>
    </xf>
    <xf numFmtId="177" fontId="11" fillId="0" borderId="1" xfId="0" applyNumberFormat="1" applyFont="1" applyFill="1" applyBorder="1" applyAlignment="1" applyProtection="1">
      <alignment horizontal="left" vertical="center"/>
      <protection locked="0"/>
    </xf>
    <xf numFmtId="177" fontId="11" fillId="2" borderId="1" xfId="0" applyNumberFormat="1" applyFont="1" applyFill="1" applyBorder="1" applyAlignment="1" applyProtection="1">
      <alignment horizontal="left" vertical="center"/>
      <protection locked="0"/>
    </xf>
    <xf numFmtId="9" fontId="11" fillId="0" borderId="1" xfId="0" applyNumberFormat="1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77" fontId="11" fillId="4" borderId="1" xfId="0" applyNumberFormat="1" applyFont="1" applyFill="1" applyBorder="1" applyAlignment="1" applyProtection="1">
      <alignment horizontal="left" vertical="center"/>
    </xf>
    <xf numFmtId="9" fontId="11" fillId="4" borderId="1" xfId="0" applyNumberFormat="1" applyFont="1" applyFill="1" applyBorder="1" applyAlignment="1" applyProtection="1">
      <alignment horizontal="left" vertical="center"/>
      <protection locked="0"/>
    </xf>
    <xf numFmtId="177" fontId="11" fillId="0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177" fontId="11" fillId="4" borderId="2" xfId="0" applyNumberFormat="1" applyFont="1" applyFill="1" applyBorder="1" applyAlignment="1" applyProtection="1">
      <alignment horizontal="left" vertical="center"/>
    </xf>
    <xf numFmtId="9" fontId="11" fillId="4" borderId="2" xfId="0" applyNumberFormat="1" applyFont="1" applyFill="1" applyBorder="1" applyAlignment="1" applyProtection="1">
      <alignment horizontal="left" vertical="center"/>
      <protection locked="0"/>
    </xf>
    <xf numFmtId="177" fontId="12" fillId="0" borderId="6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9" fontId="11" fillId="0" borderId="0" xfId="0" applyNumberFormat="1" applyFont="1" applyBorder="1" applyAlignment="1" applyProtection="1">
      <alignment horizontal="left" vertical="center"/>
      <protection locked="0"/>
    </xf>
    <xf numFmtId="14" fontId="11" fillId="0" borderId="0" xfId="0" applyNumberFormat="1" applyFont="1" applyBorder="1" applyAlignment="1" applyProtection="1">
      <alignment horizontal="left" vertical="center"/>
      <protection locked="0"/>
    </xf>
    <xf numFmtId="14" fontId="13" fillId="0" borderId="0" xfId="0" applyNumberFormat="1" applyFont="1" applyBorder="1" applyAlignment="1" applyProtection="1">
      <alignment horizontal="left" vertical="center"/>
      <protection locked="0"/>
    </xf>
    <xf numFmtId="9" fontId="11" fillId="0" borderId="0" xfId="0" applyNumberFormat="1" applyFont="1" applyFill="1" applyBorder="1" applyAlignment="1" applyProtection="1">
      <alignment horizontal="left" vertical="center"/>
      <protection locked="0"/>
    </xf>
    <xf numFmtId="14" fontId="11" fillId="0" borderId="0" xfId="0" applyNumberFormat="1" applyFont="1" applyFill="1" applyBorder="1" applyAlignment="1" applyProtection="1">
      <alignment horizontal="left" vertical="center"/>
      <protection locked="0"/>
    </xf>
    <xf numFmtId="14" fontId="13" fillId="0" borderId="0" xfId="0" applyNumberFormat="1" applyFont="1" applyFill="1" applyBorder="1" applyAlignment="1" applyProtection="1">
      <alignment horizontal="left" vertical="center"/>
      <protection locked="0"/>
    </xf>
    <xf numFmtId="9" fontId="11" fillId="4" borderId="0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left" vertical="center"/>
      <protection locked="0"/>
    </xf>
    <xf numFmtId="14" fontId="13" fillId="0" borderId="1" xfId="0" applyNumberFormat="1" applyFont="1" applyBorder="1" applyAlignment="1" applyProtection="1">
      <alignment horizontal="left" vertical="center"/>
      <protection locked="0"/>
    </xf>
    <xf numFmtId="14" fontId="11" fillId="0" borderId="1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 applyProtection="1">
      <alignment horizontal="left" vertical="center"/>
      <protection locked="0"/>
    </xf>
    <xf numFmtId="178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31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635</xdr:rowOff>
    </xdr:from>
    <xdr:to>
      <xdr:col>14</xdr:col>
      <xdr:colOff>109220</xdr:colOff>
      <xdr:row>16</xdr:row>
      <xdr:rowOff>127635</xdr:rowOff>
    </xdr:to>
    <xdr:pic>
      <xdr:nvPicPr>
        <xdr:cNvPr id="2" name="图片 1" descr="lQLPDhr6Ulg7ITXNATjNA6CwMtiDU0GrmFwBx16sBQAEAA_928_3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9630410" cy="28702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17</xdr:row>
      <xdr:rowOff>31750</xdr:rowOff>
    </xdr:from>
    <xdr:to>
      <xdr:col>11</xdr:col>
      <xdr:colOff>558800</xdr:colOff>
      <xdr:row>23</xdr:row>
      <xdr:rowOff>158750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700" y="2946400"/>
          <a:ext cx="7820025" cy="1155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6</xdr:col>
      <xdr:colOff>542290</xdr:colOff>
      <xdr:row>27</xdr:row>
      <xdr:rowOff>5715</xdr:rowOff>
    </xdr:to>
    <xdr:pic>
      <xdr:nvPicPr>
        <xdr:cNvPr id="2" name="图片 1" descr="lADPJv8gR_WwAiTNBLDNBkA_1600_1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48285" y="351790"/>
          <a:ext cx="4634865" cy="3931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5&#34218;&#37228;&#31119;&#21033;\02-&#21253;&#24178;&#36153;&amp;&#25552;&#25104;&amp;&#20998;&#32418;\20211220-&#32500;&#20462;&#37096;&#21253;&#24178;&#36153;\&#21253;&#24178;&#36153;-&#21333;&#25454;&#21644;&#35774;&#22791;&#25968;&#37327;&#23458;&#25143;&#24050;&#26680;&#23545;\&#19975;&#26641;&#22766;&#21253;&#24178;&#3615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核对流程"/>
      <sheetName val="数据标准设置"/>
      <sheetName val="设备标准价格"/>
      <sheetName val="项目设备包干表"/>
      <sheetName val="个人奖金分配表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C1" workbookViewId="0">
      <selection activeCell="G1" sqref="G1:J1"/>
    </sheetView>
  </sheetViews>
  <sheetFormatPr defaultColWidth="9" defaultRowHeight="26" customHeight="1"/>
  <cols>
    <col min="1" max="1" width="9" style="89"/>
    <col min="2" max="2" width="31.8166666666667" style="89" customWidth="1"/>
    <col min="3" max="3" width="13.8833333333333" style="89" customWidth="1"/>
    <col min="4" max="4" width="20.8166666666667" style="89" customWidth="1"/>
    <col min="5" max="6" width="9" style="89"/>
    <col min="7" max="7" width="15.875" style="89" customWidth="1"/>
    <col min="8" max="8" width="27.375" style="89" customWidth="1"/>
    <col min="9" max="9" width="15.875" style="89" customWidth="1"/>
    <col min="10" max="10" width="18.25" style="89" customWidth="1"/>
    <col min="11" max="16384" width="9" style="89"/>
  </cols>
  <sheetData>
    <row r="1" customHeight="1" spans="1:10">
      <c r="A1" s="90" t="s">
        <v>0</v>
      </c>
      <c r="B1" s="90"/>
      <c r="C1" s="90"/>
      <c r="D1" s="90"/>
      <c r="G1" s="90" t="s">
        <v>0</v>
      </c>
      <c r="H1" s="90"/>
      <c r="I1" s="90"/>
      <c r="J1" s="90"/>
    </row>
    <row r="2" customHeight="1" spans="1:10">
      <c r="A2" s="33" t="s">
        <v>1</v>
      </c>
      <c r="B2" s="33"/>
      <c r="C2" s="33" t="s">
        <v>2</v>
      </c>
      <c r="D2" s="33" t="s">
        <v>3</v>
      </c>
      <c r="G2" s="33" t="s">
        <v>1</v>
      </c>
      <c r="H2" s="33"/>
      <c r="I2" s="33" t="s">
        <v>2</v>
      </c>
      <c r="J2" s="33" t="s">
        <v>3</v>
      </c>
    </row>
    <row r="3" customHeight="1" spans="1:10">
      <c r="A3" s="91" t="s">
        <v>4</v>
      </c>
      <c r="B3" s="91" t="s">
        <v>5</v>
      </c>
      <c r="C3" s="92">
        <f>维保包干费明细!L43</f>
        <v>171968.25</v>
      </c>
      <c r="D3" s="91" t="s">
        <v>6</v>
      </c>
      <c r="G3" s="91" t="s">
        <v>4</v>
      </c>
      <c r="H3" s="91" t="s">
        <v>5</v>
      </c>
      <c r="I3" s="92">
        <v>171968.25</v>
      </c>
      <c r="J3" s="91" t="s">
        <v>6</v>
      </c>
    </row>
    <row r="4" customHeight="1" spans="1:10">
      <c r="A4" s="91"/>
      <c r="B4" s="91" t="s">
        <v>7</v>
      </c>
      <c r="C4" s="92">
        <f>维修包干费明细!B41</f>
        <v>324545.56</v>
      </c>
      <c r="D4" s="91" t="s">
        <v>8</v>
      </c>
      <c r="G4" s="91"/>
      <c r="H4" s="91" t="s">
        <v>7</v>
      </c>
      <c r="I4" s="92">
        <v>324545.56</v>
      </c>
      <c r="J4" s="91" t="s">
        <v>8</v>
      </c>
    </row>
    <row r="5" customHeight="1" spans="1:10">
      <c r="A5" s="91"/>
      <c r="B5" s="91" t="s">
        <v>9</v>
      </c>
      <c r="C5" s="92">
        <f>SUM(C3:C4)</f>
        <v>496513.81</v>
      </c>
      <c r="D5" s="91"/>
      <c r="G5" s="91"/>
      <c r="H5" s="91" t="s">
        <v>9</v>
      </c>
      <c r="I5" s="92">
        <v>496513.81</v>
      </c>
      <c r="J5" s="91"/>
    </row>
    <row r="6" customHeight="1" spans="1:10">
      <c r="A6" s="91" t="s">
        <v>10</v>
      </c>
      <c r="B6" s="91" t="s">
        <v>11</v>
      </c>
      <c r="C6" s="92">
        <f>已发包干费明细!G30</f>
        <v>145083.37</v>
      </c>
      <c r="D6" s="91"/>
      <c r="G6" s="91" t="s">
        <v>10</v>
      </c>
      <c r="H6" s="91" t="s">
        <v>11</v>
      </c>
      <c r="I6" s="92">
        <v>145083.37</v>
      </c>
      <c r="J6" s="91"/>
    </row>
    <row r="7" customHeight="1" spans="1:10">
      <c r="A7" s="91"/>
      <c r="B7" s="91" t="s">
        <v>12</v>
      </c>
      <c r="C7" s="92">
        <f>应扣工资明细!L6</f>
        <v>148622.4</v>
      </c>
      <c r="D7" s="91"/>
      <c r="G7" s="91"/>
      <c r="H7" s="91" t="s">
        <v>12</v>
      </c>
      <c r="I7" s="92">
        <v>148622.4</v>
      </c>
      <c r="J7" s="91"/>
    </row>
    <row r="8" customHeight="1" spans="1:10">
      <c r="A8" s="91"/>
      <c r="B8" s="91" t="s">
        <v>13</v>
      </c>
      <c r="C8" s="92">
        <f>应扣材料费明细!J5</f>
        <v>434</v>
      </c>
      <c r="D8" s="91"/>
      <c r="G8" s="91"/>
      <c r="H8" s="91" t="s">
        <v>13</v>
      </c>
      <c r="I8" s="92">
        <v>434</v>
      </c>
      <c r="J8" s="91"/>
    </row>
    <row r="9" customHeight="1" spans="1:10">
      <c r="A9" s="91"/>
      <c r="B9" s="91" t="s">
        <v>9</v>
      </c>
      <c r="C9" s="92">
        <f>SUM(C6:C8)</f>
        <v>294139.77</v>
      </c>
      <c r="D9" s="91"/>
      <c r="G9" s="91"/>
      <c r="H9" s="91" t="s">
        <v>9</v>
      </c>
      <c r="I9" s="92">
        <v>294139.77</v>
      </c>
      <c r="J9" s="91"/>
    </row>
    <row r="10" customHeight="1" spans="1:10">
      <c r="A10" s="33" t="s">
        <v>14</v>
      </c>
      <c r="B10" s="33"/>
      <c r="C10" s="93">
        <v>214067.83</v>
      </c>
      <c r="D10" s="91"/>
      <c r="G10" s="33" t="s">
        <v>14</v>
      </c>
      <c r="H10" s="33"/>
      <c r="I10" s="93">
        <f>I5-I9</f>
        <v>202374.04</v>
      </c>
      <c r="J10" s="91"/>
    </row>
    <row r="11" s="88" customFormat="1" customHeight="1" spans="1:10">
      <c r="A11" s="94" t="s">
        <v>15</v>
      </c>
      <c r="B11" s="95">
        <v>44446</v>
      </c>
      <c r="C11" s="96">
        <v>5000</v>
      </c>
      <c r="D11" s="33"/>
      <c r="G11" s="94" t="s">
        <v>15</v>
      </c>
      <c r="H11" s="95">
        <v>44446</v>
      </c>
      <c r="I11" s="96">
        <v>5000</v>
      </c>
      <c r="J11" s="33"/>
    </row>
    <row r="12" s="88" customFormat="1" customHeight="1" spans="1:10">
      <c r="A12" s="94"/>
      <c r="B12" s="95">
        <v>44536</v>
      </c>
      <c r="C12" s="96">
        <v>20000</v>
      </c>
      <c r="D12" s="33"/>
      <c r="G12" s="94"/>
      <c r="H12" s="95">
        <v>44536</v>
      </c>
      <c r="I12" s="96">
        <v>20000</v>
      </c>
      <c r="J12" s="33"/>
    </row>
    <row r="13" s="88" customFormat="1" customHeight="1" spans="1:10">
      <c r="A13" s="94"/>
      <c r="B13" s="95">
        <v>44559</v>
      </c>
      <c r="C13" s="96">
        <v>20000</v>
      </c>
      <c r="D13" s="33"/>
      <c r="G13" s="94"/>
      <c r="H13" s="95">
        <v>44559</v>
      </c>
      <c r="I13" s="96">
        <v>20000</v>
      </c>
      <c r="J13" s="33"/>
    </row>
    <row r="14" s="88" customFormat="1" customHeight="1" spans="1:10">
      <c r="A14" s="94"/>
      <c r="B14" s="95">
        <v>44205</v>
      </c>
      <c r="C14" s="96">
        <v>45000</v>
      </c>
      <c r="D14" s="33"/>
      <c r="G14" s="94"/>
      <c r="H14" s="95">
        <v>44205</v>
      </c>
      <c r="I14" s="96">
        <v>45000</v>
      </c>
      <c r="J14" s="33"/>
    </row>
    <row r="15" s="88" customFormat="1" customHeight="1" spans="1:10">
      <c r="A15" s="94"/>
      <c r="B15" s="95">
        <v>44270</v>
      </c>
      <c r="C15" s="96">
        <v>10000</v>
      </c>
      <c r="D15" s="33"/>
      <c r="G15" s="94"/>
      <c r="H15" s="95">
        <v>44270</v>
      </c>
      <c r="I15" s="96">
        <v>10000</v>
      </c>
      <c r="J15" s="33"/>
    </row>
    <row r="16" s="88" customFormat="1" customHeight="1" spans="1:10">
      <c r="A16" s="94"/>
      <c r="B16" s="97" t="s">
        <v>9</v>
      </c>
      <c r="C16" s="98">
        <f>SUM(C11:C15)</f>
        <v>100000</v>
      </c>
      <c r="D16" s="99" t="s">
        <v>16</v>
      </c>
      <c r="G16" s="94"/>
      <c r="H16" s="97" t="s">
        <v>9</v>
      </c>
      <c r="I16" s="98">
        <f>SUM(I11:I15)</f>
        <v>100000</v>
      </c>
      <c r="J16" s="99" t="s">
        <v>16</v>
      </c>
    </row>
    <row r="17" s="88" customFormat="1" customHeight="1" spans="1:10">
      <c r="A17" s="100" t="s">
        <v>17</v>
      </c>
      <c r="B17" s="95" t="s">
        <v>18</v>
      </c>
      <c r="C17" s="14">
        <f>(C10-C16)*0.7+C16</f>
        <v>179847.481</v>
      </c>
      <c r="D17" s="33"/>
      <c r="G17" s="100" t="s">
        <v>17</v>
      </c>
      <c r="H17" s="95" t="s">
        <v>18</v>
      </c>
      <c r="I17" s="14">
        <v>179847.481</v>
      </c>
      <c r="J17" s="33"/>
    </row>
    <row r="18" s="88" customFormat="1" customHeight="1" spans="1:10">
      <c r="A18" s="100"/>
      <c r="B18" s="33" t="s">
        <v>19</v>
      </c>
      <c r="C18" s="14">
        <f>C17*0.03</f>
        <v>5395.42443</v>
      </c>
      <c r="D18" s="33"/>
      <c r="G18" s="100"/>
      <c r="H18" s="33" t="s">
        <v>19</v>
      </c>
      <c r="I18" s="14">
        <f>I17*0.03</f>
        <v>5395.42443</v>
      </c>
      <c r="J18" s="33"/>
    </row>
    <row r="19" s="88" customFormat="1" customHeight="1" spans="1:10">
      <c r="A19" s="100"/>
      <c r="B19" s="33" t="s">
        <v>20</v>
      </c>
      <c r="C19" s="14">
        <f>C17-C18</f>
        <v>174452.05657</v>
      </c>
      <c r="D19" s="33"/>
      <c r="G19" s="100"/>
      <c r="H19" s="33" t="s">
        <v>20</v>
      </c>
      <c r="I19" s="14">
        <f>I17-I18</f>
        <v>174452.05657</v>
      </c>
      <c r="J19" s="33"/>
    </row>
    <row r="20" s="88" customFormat="1" customHeight="1" spans="1:10">
      <c r="A20" s="100"/>
      <c r="B20" s="33" t="s">
        <v>21</v>
      </c>
      <c r="C20" s="14">
        <f>C19*0.06</f>
        <v>10467.1233942</v>
      </c>
      <c r="D20" s="33"/>
      <c r="G20" s="100"/>
      <c r="H20" s="33" t="s">
        <v>21</v>
      </c>
      <c r="I20" s="14">
        <f>I19*0.06</f>
        <v>10467.1233942</v>
      </c>
      <c r="J20" s="33"/>
    </row>
    <row r="21" s="88" customFormat="1" customHeight="1" spans="1:10">
      <c r="A21" s="100"/>
      <c r="B21" s="33" t="s">
        <v>22</v>
      </c>
      <c r="C21" s="14">
        <f>C19+C20</f>
        <v>184919.1799642</v>
      </c>
      <c r="D21" s="99" t="s">
        <v>23</v>
      </c>
      <c r="G21" s="100"/>
      <c r="H21" s="33" t="s">
        <v>22</v>
      </c>
      <c r="I21" s="14">
        <f>I19+I20</f>
        <v>184919.1799642</v>
      </c>
      <c r="J21" s="99" t="s">
        <v>23</v>
      </c>
    </row>
    <row r="22" s="88" customFormat="1" customHeight="1" spans="1:10">
      <c r="A22" s="100" t="s">
        <v>24</v>
      </c>
      <c r="B22" s="95" t="s">
        <v>25</v>
      </c>
      <c r="C22" s="14">
        <f>(C10-C16)*0.3</f>
        <v>34220.349</v>
      </c>
      <c r="D22" s="33"/>
      <c r="G22" s="100" t="s">
        <v>24</v>
      </c>
      <c r="H22" s="95" t="s">
        <v>25</v>
      </c>
      <c r="I22" s="14">
        <f>I10-I17</f>
        <v>22526.559</v>
      </c>
      <c r="J22" s="33"/>
    </row>
    <row r="23" s="88" customFormat="1" customHeight="1" spans="1:10">
      <c r="A23" s="100"/>
      <c r="B23" s="33" t="s">
        <v>19</v>
      </c>
      <c r="C23" s="14">
        <f>C22*0.03</f>
        <v>1026.61047</v>
      </c>
      <c r="D23" s="33"/>
      <c r="G23" s="100"/>
      <c r="H23" s="33" t="s">
        <v>19</v>
      </c>
      <c r="I23" s="14">
        <f>I22*0.03</f>
        <v>675.79677</v>
      </c>
      <c r="J23" s="33"/>
    </row>
    <row r="24" s="88" customFormat="1" customHeight="1" spans="1:10">
      <c r="A24" s="100"/>
      <c r="B24" s="33" t="s">
        <v>20</v>
      </c>
      <c r="C24" s="14">
        <f>C22-C23</f>
        <v>33193.73853</v>
      </c>
      <c r="D24" s="33"/>
      <c r="G24" s="100"/>
      <c r="H24" s="33" t="s">
        <v>20</v>
      </c>
      <c r="I24" s="14">
        <f>I22-I23</f>
        <v>21850.76223</v>
      </c>
      <c r="J24" s="33"/>
    </row>
    <row r="25" s="88" customFormat="1" customHeight="1" spans="1:10">
      <c r="A25" s="100"/>
      <c r="B25" s="33" t="s">
        <v>21</v>
      </c>
      <c r="C25" s="14">
        <f>C24*0.06</f>
        <v>1991.6243118</v>
      </c>
      <c r="D25" s="33"/>
      <c r="G25" s="100"/>
      <c r="H25" s="33" t="s">
        <v>21</v>
      </c>
      <c r="I25" s="14">
        <f>I24*0.06</f>
        <v>1311.0457338</v>
      </c>
      <c r="J25" s="33"/>
    </row>
    <row r="26" s="88" customFormat="1" customHeight="1" spans="1:10">
      <c r="A26" s="100"/>
      <c r="B26" s="33" t="s">
        <v>22</v>
      </c>
      <c r="C26" s="14">
        <f>C24+C25</f>
        <v>35185.3628418</v>
      </c>
      <c r="D26" s="33"/>
      <c r="G26" s="100"/>
      <c r="H26" s="33" t="s">
        <v>22</v>
      </c>
      <c r="I26" s="14">
        <f>I24+I25</f>
        <v>23161.8079638</v>
      </c>
      <c r="J26" s="33"/>
    </row>
    <row r="27" s="88" customFormat="1" customHeight="1" spans="1:10">
      <c r="A27" s="101" t="s">
        <v>26</v>
      </c>
      <c r="B27" s="33" t="s">
        <v>27</v>
      </c>
      <c r="C27" s="93"/>
      <c r="D27" s="33"/>
      <c r="G27" s="101" t="s">
        <v>26</v>
      </c>
      <c r="H27" s="33" t="s">
        <v>27</v>
      </c>
      <c r="I27" s="93"/>
      <c r="J27" s="33"/>
    </row>
    <row r="28" customHeight="1" spans="3:3">
      <c r="C28" s="89">
        <f>C17+C26</f>
        <v>215032.8438418</v>
      </c>
    </row>
  </sheetData>
  <mergeCells count="16">
    <mergeCell ref="A1:D1"/>
    <mergeCell ref="G1:J1"/>
    <mergeCell ref="A2:B2"/>
    <mergeCell ref="G2:H2"/>
    <mergeCell ref="A10:B10"/>
    <mergeCell ref="G10:H10"/>
    <mergeCell ref="A3:A5"/>
    <mergeCell ref="A6:A9"/>
    <mergeCell ref="A11:A16"/>
    <mergeCell ref="A17:A21"/>
    <mergeCell ref="A22:A26"/>
    <mergeCell ref="G3:G5"/>
    <mergeCell ref="G6:G9"/>
    <mergeCell ref="G11:G16"/>
    <mergeCell ref="G17:G21"/>
    <mergeCell ref="G22:G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"/>
  <sheetViews>
    <sheetView zoomScale="115" zoomScaleNormal="115" workbookViewId="0">
      <selection activeCell="A34" sqref="$A34:$XFD34"/>
    </sheetView>
  </sheetViews>
  <sheetFormatPr defaultColWidth="18.6333333333333" defaultRowHeight="11.25"/>
  <cols>
    <col min="1" max="1" width="13.4583333333333" style="48" customWidth="1"/>
    <col min="2" max="2" width="8.09166666666667" style="48" customWidth="1"/>
    <col min="3" max="3" width="9.725" style="48" customWidth="1"/>
    <col min="4" max="5" width="8.09166666666667" style="48" customWidth="1"/>
    <col min="6" max="6" width="6.45833333333333" style="48" customWidth="1"/>
    <col min="7" max="8" width="8.09166666666667" style="48" customWidth="1"/>
    <col min="9" max="9" width="8.90833333333333" style="48" customWidth="1"/>
    <col min="10" max="11" width="8.09166666666667" style="48" customWidth="1"/>
    <col min="12" max="12" width="10.725" style="48" customWidth="1"/>
    <col min="13" max="13" width="5.54166666666667" style="48" hidden="1" customWidth="1"/>
    <col min="14" max="14" width="8.09166666666667" style="48" hidden="1" customWidth="1"/>
    <col min="15" max="15" width="4" style="48" hidden="1" customWidth="1"/>
    <col min="16" max="16" width="8.09166666666667" style="48" hidden="1" customWidth="1"/>
    <col min="17" max="17" width="4" style="48" hidden="1" customWidth="1"/>
    <col min="18" max="18" width="8.09166666666667" style="48" hidden="1" customWidth="1"/>
    <col min="19" max="19" width="13.4583333333333" style="48" hidden="1" customWidth="1"/>
    <col min="20" max="20" width="8.09166666666667" style="48" hidden="1" customWidth="1"/>
    <col min="21" max="21" width="4.81666666666667" style="48" hidden="1" customWidth="1"/>
    <col min="22" max="22" width="3.90833333333333" style="48" hidden="1" customWidth="1"/>
    <col min="23" max="23" width="8.90833333333333" style="48" customWidth="1"/>
    <col min="24" max="24" width="9.725" style="48" customWidth="1"/>
    <col min="25" max="25" width="10.4583333333333" style="48" customWidth="1"/>
    <col min="26" max="26" width="5.54166666666667" style="48" customWidth="1"/>
    <col min="27" max="27" width="9.725" style="48" customWidth="1"/>
    <col min="28" max="28" width="11.5416666666667" style="48" customWidth="1"/>
    <col min="29" max="16381" width="18.6333333333333" style="48" customWidth="1"/>
    <col min="16382" max="16384" width="18.6333333333333" style="48"/>
  </cols>
  <sheetData>
    <row r="1" s="46" customFormat="1" ht="22.5" spans="1:27">
      <c r="A1" s="49" t="s">
        <v>28</v>
      </c>
      <c r="B1" s="49" t="s">
        <v>1</v>
      </c>
      <c r="C1" s="49" t="s">
        <v>29</v>
      </c>
      <c r="D1" s="49" t="s">
        <v>30</v>
      </c>
      <c r="E1" s="49" t="s">
        <v>31</v>
      </c>
      <c r="F1" s="49" t="s">
        <v>32</v>
      </c>
      <c r="G1" s="50" t="s">
        <v>33</v>
      </c>
      <c r="H1" s="51" t="s">
        <v>34</v>
      </c>
      <c r="I1" s="51" t="s">
        <v>35</v>
      </c>
      <c r="J1" s="51" t="s">
        <v>36</v>
      </c>
      <c r="K1" s="51" t="s">
        <v>37</v>
      </c>
      <c r="L1" s="51" t="s">
        <v>38</v>
      </c>
      <c r="M1" s="50" t="s">
        <v>39</v>
      </c>
      <c r="N1" s="51" t="s">
        <v>40</v>
      </c>
      <c r="O1" s="50" t="s">
        <v>41</v>
      </c>
      <c r="P1" s="51" t="s">
        <v>42</v>
      </c>
      <c r="Q1" s="50" t="s">
        <v>41</v>
      </c>
      <c r="R1" s="63" t="s">
        <v>43</v>
      </c>
      <c r="S1" s="50" t="s">
        <v>41</v>
      </c>
      <c r="T1" s="51" t="s">
        <v>44</v>
      </c>
      <c r="U1" s="50" t="s">
        <v>41</v>
      </c>
      <c r="V1" s="74"/>
      <c r="W1" s="74" t="s">
        <v>45</v>
      </c>
      <c r="X1" s="74" t="s">
        <v>46</v>
      </c>
      <c r="Y1" s="86" t="s">
        <v>47</v>
      </c>
      <c r="Z1" s="78" t="s">
        <v>48</v>
      </c>
      <c r="AA1" s="87" t="s">
        <v>49</v>
      </c>
    </row>
    <row r="2" spans="1:25">
      <c r="A2" s="52" t="s">
        <v>50</v>
      </c>
      <c r="B2" s="52" t="s">
        <v>51</v>
      </c>
      <c r="C2" s="52" t="s">
        <v>52</v>
      </c>
      <c r="D2" s="52" t="s">
        <v>53</v>
      </c>
      <c r="E2" s="52">
        <v>2</v>
      </c>
      <c r="F2" s="53" t="s">
        <v>54</v>
      </c>
      <c r="G2" s="52">
        <v>2</v>
      </c>
      <c r="H2" s="54">
        <v>4500</v>
      </c>
      <c r="I2" s="54">
        <f>H2*G2</f>
        <v>9000</v>
      </c>
      <c r="J2" s="61">
        <v>0</v>
      </c>
      <c r="K2" s="61">
        <v>0</v>
      </c>
      <c r="L2" s="61">
        <f>I2+J2-K2</f>
        <v>9000</v>
      </c>
      <c r="M2" s="61">
        <v>0</v>
      </c>
      <c r="N2" s="61">
        <v>0</v>
      </c>
      <c r="O2" s="61">
        <v>0</v>
      </c>
      <c r="P2" s="61">
        <v>0</v>
      </c>
      <c r="Q2" s="61">
        <v>0</v>
      </c>
      <c r="R2" s="61">
        <v>0</v>
      </c>
      <c r="S2" s="61">
        <v>0</v>
      </c>
      <c r="T2" s="61">
        <v>0</v>
      </c>
      <c r="U2" s="61">
        <v>0</v>
      </c>
      <c r="V2" s="61">
        <v>0</v>
      </c>
      <c r="W2" s="61">
        <v>0</v>
      </c>
      <c r="X2" s="61">
        <v>0</v>
      </c>
      <c r="Y2" s="61">
        <v>0</v>
      </c>
    </row>
    <row r="3" spans="1:24">
      <c r="A3" s="52" t="s">
        <v>50</v>
      </c>
      <c r="B3" s="52" t="s">
        <v>51</v>
      </c>
      <c r="C3" s="52" t="s">
        <v>55</v>
      </c>
      <c r="D3" s="52" t="s">
        <v>53</v>
      </c>
      <c r="E3" s="52">
        <v>1</v>
      </c>
      <c r="F3" s="53" t="s">
        <v>54</v>
      </c>
      <c r="G3" s="52">
        <v>1</v>
      </c>
      <c r="H3" s="54">
        <v>1500</v>
      </c>
      <c r="I3" s="54">
        <f t="shared" ref="I3:I42" si="0">H3*G3</f>
        <v>1500</v>
      </c>
      <c r="J3" s="61">
        <v>0</v>
      </c>
      <c r="K3" s="61">
        <v>0</v>
      </c>
      <c r="L3" s="61">
        <f t="shared" ref="L3:L42" si="1">I3+J3-K3</f>
        <v>1500</v>
      </c>
      <c r="M3" s="52">
        <v>5</v>
      </c>
      <c r="N3" s="54">
        <v>675</v>
      </c>
      <c r="O3" s="62">
        <v>0.45</v>
      </c>
      <c r="P3" s="54">
        <v>150</v>
      </c>
      <c r="Q3" s="62">
        <v>0.1</v>
      </c>
      <c r="R3" s="54">
        <v>0</v>
      </c>
      <c r="S3" s="62">
        <v>0</v>
      </c>
      <c r="T3" s="54">
        <v>675</v>
      </c>
      <c r="U3" s="62">
        <v>0.45</v>
      </c>
      <c r="V3" s="75"/>
      <c r="W3" s="76">
        <v>44287</v>
      </c>
      <c r="X3" s="77">
        <v>44651</v>
      </c>
    </row>
    <row r="4" s="47" customFormat="1" spans="1:24">
      <c r="A4" s="49" t="s">
        <v>56</v>
      </c>
      <c r="B4" s="49" t="s">
        <v>51</v>
      </c>
      <c r="C4" s="49" t="s">
        <v>52</v>
      </c>
      <c r="D4" s="49" t="s">
        <v>57</v>
      </c>
      <c r="E4" s="49">
        <v>2</v>
      </c>
      <c r="F4" s="55" t="s">
        <v>54</v>
      </c>
      <c r="G4" s="49">
        <v>2</v>
      </c>
      <c r="H4" s="56">
        <v>4500</v>
      </c>
      <c r="I4" s="56">
        <f t="shared" si="0"/>
        <v>9000</v>
      </c>
      <c r="J4" s="63">
        <v>0</v>
      </c>
      <c r="K4" s="64">
        <f>I4*(1-28%-4.5%*6)</f>
        <v>4050</v>
      </c>
      <c r="L4" s="63">
        <f t="shared" si="1"/>
        <v>4950</v>
      </c>
      <c r="M4" s="49">
        <v>10</v>
      </c>
      <c r="N4" s="56">
        <v>4050</v>
      </c>
      <c r="O4" s="65">
        <v>0.45</v>
      </c>
      <c r="P4" s="56">
        <v>900</v>
      </c>
      <c r="Q4" s="65">
        <v>0.1</v>
      </c>
      <c r="R4" s="56">
        <v>2520</v>
      </c>
      <c r="S4" s="65">
        <v>0.28</v>
      </c>
      <c r="T4" s="56">
        <v>1530</v>
      </c>
      <c r="U4" s="65">
        <v>0.17</v>
      </c>
      <c r="V4" s="78"/>
      <c r="W4" s="79">
        <v>44287</v>
      </c>
      <c r="X4" s="80">
        <v>44500</v>
      </c>
    </row>
    <row r="5" spans="1:24">
      <c r="A5" s="52" t="s">
        <v>58</v>
      </c>
      <c r="B5" s="52" t="s">
        <v>51</v>
      </c>
      <c r="C5" s="52" t="s">
        <v>52</v>
      </c>
      <c r="D5" s="52" t="s">
        <v>57</v>
      </c>
      <c r="E5" s="52">
        <v>2</v>
      </c>
      <c r="F5" s="53" t="s">
        <v>54</v>
      </c>
      <c r="G5" s="52">
        <v>2</v>
      </c>
      <c r="H5" s="54">
        <v>4500</v>
      </c>
      <c r="I5" s="54">
        <f t="shared" si="0"/>
        <v>9000</v>
      </c>
      <c r="J5" s="61">
        <v>0</v>
      </c>
      <c r="K5" s="61">
        <v>0</v>
      </c>
      <c r="L5" s="61">
        <f t="shared" si="1"/>
        <v>9000</v>
      </c>
      <c r="M5" s="52">
        <v>10</v>
      </c>
      <c r="N5" s="54">
        <v>4050</v>
      </c>
      <c r="O5" s="62">
        <v>0.45</v>
      </c>
      <c r="P5" s="54">
        <v>900</v>
      </c>
      <c r="Q5" s="62">
        <v>0.1</v>
      </c>
      <c r="R5" s="54">
        <v>2520</v>
      </c>
      <c r="S5" s="62">
        <v>0.28</v>
      </c>
      <c r="T5" s="54">
        <v>1530</v>
      </c>
      <c r="U5" s="62">
        <v>0.17</v>
      </c>
      <c r="V5" s="75"/>
      <c r="W5" s="76">
        <v>44287</v>
      </c>
      <c r="X5" s="77">
        <v>44651</v>
      </c>
    </row>
    <row r="6" spans="1:24">
      <c r="A6" s="52" t="s">
        <v>59</v>
      </c>
      <c r="B6" s="52" t="s">
        <v>51</v>
      </c>
      <c r="C6" s="52" t="s">
        <v>52</v>
      </c>
      <c r="D6" s="52" t="s">
        <v>60</v>
      </c>
      <c r="E6" s="52">
        <v>2</v>
      </c>
      <c r="F6" s="53" t="s">
        <v>54</v>
      </c>
      <c r="G6" s="52">
        <v>2</v>
      </c>
      <c r="H6" s="54">
        <v>4500</v>
      </c>
      <c r="I6" s="54">
        <f t="shared" si="0"/>
        <v>9000</v>
      </c>
      <c r="J6" s="61">
        <v>0</v>
      </c>
      <c r="K6" s="61">
        <v>0</v>
      </c>
      <c r="L6" s="61">
        <f t="shared" si="1"/>
        <v>9000</v>
      </c>
      <c r="M6" s="52">
        <v>10</v>
      </c>
      <c r="N6" s="54">
        <v>4050</v>
      </c>
      <c r="O6" s="62">
        <v>0.45</v>
      </c>
      <c r="P6" s="54">
        <v>900</v>
      </c>
      <c r="Q6" s="62">
        <v>0.1</v>
      </c>
      <c r="R6" s="54">
        <v>2520</v>
      </c>
      <c r="S6" s="62">
        <v>0.28</v>
      </c>
      <c r="T6" s="54">
        <v>1530</v>
      </c>
      <c r="U6" s="62">
        <v>0.17</v>
      </c>
      <c r="V6" s="75"/>
      <c r="W6" s="76">
        <v>44287</v>
      </c>
      <c r="X6" s="77">
        <v>44651</v>
      </c>
    </row>
    <row r="7" spans="1:24">
      <c r="A7" s="52" t="s">
        <v>61</v>
      </c>
      <c r="B7" s="52" t="s">
        <v>51</v>
      </c>
      <c r="C7" s="52" t="s">
        <v>52</v>
      </c>
      <c r="D7" s="52" t="s">
        <v>62</v>
      </c>
      <c r="E7" s="52">
        <v>2</v>
      </c>
      <c r="F7" s="53" t="s">
        <v>54</v>
      </c>
      <c r="G7" s="52">
        <v>3</v>
      </c>
      <c r="H7" s="54">
        <v>4500</v>
      </c>
      <c r="I7" s="54">
        <f t="shared" si="0"/>
        <v>13500</v>
      </c>
      <c r="J7" s="61">
        <v>0</v>
      </c>
      <c r="K7" s="61">
        <v>0</v>
      </c>
      <c r="L7" s="61">
        <f t="shared" si="1"/>
        <v>13500</v>
      </c>
      <c r="M7" s="52">
        <v>10</v>
      </c>
      <c r="N7" s="54">
        <v>6075</v>
      </c>
      <c r="O7" s="62">
        <v>0.45</v>
      </c>
      <c r="P7" s="54">
        <v>1350</v>
      </c>
      <c r="Q7" s="62">
        <v>0.1</v>
      </c>
      <c r="R7" s="54">
        <v>3780</v>
      </c>
      <c r="S7" s="62">
        <v>0.28</v>
      </c>
      <c r="T7" s="54">
        <v>2295</v>
      </c>
      <c r="U7" s="62">
        <v>0.17</v>
      </c>
      <c r="V7" s="75"/>
      <c r="W7" s="76">
        <v>44287</v>
      </c>
      <c r="X7" s="77">
        <v>44651</v>
      </c>
    </row>
    <row r="8" spans="1:24">
      <c r="A8" s="52" t="s">
        <v>61</v>
      </c>
      <c r="B8" s="52" t="s">
        <v>51</v>
      </c>
      <c r="C8" s="52" t="s">
        <v>63</v>
      </c>
      <c r="D8" s="52"/>
      <c r="E8" s="52">
        <v>600</v>
      </c>
      <c r="F8" s="53" t="s">
        <v>54</v>
      </c>
      <c r="G8" s="52">
        <v>3</v>
      </c>
      <c r="H8" s="54">
        <v>1750</v>
      </c>
      <c r="I8" s="54">
        <f t="shared" si="0"/>
        <v>5250</v>
      </c>
      <c r="J8" s="61">
        <v>0</v>
      </c>
      <c r="K8" s="61">
        <v>0</v>
      </c>
      <c r="L8" s="61">
        <f t="shared" si="1"/>
        <v>5250</v>
      </c>
      <c r="M8" s="52">
        <v>10</v>
      </c>
      <c r="N8" s="54">
        <v>0</v>
      </c>
      <c r="O8" s="62">
        <v>0</v>
      </c>
      <c r="P8" s="54">
        <v>0</v>
      </c>
      <c r="Q8" s="62">
        <v>0</v>
      </c>
      <c r="R8" s="54">
        <v>0</v>
      </c>
      <c r="S8" s="62">
        <v>0</v>
      </c>
      <c r="T8" s="54">
        <v>6000</v>
      </c>
      <c r="U8" s="62">
        <v>1</v>
      </c>
      <c r="V8" s="75"/>
      <c r="W8" s="76">
        <v>44287</v>
      </c>
      <c r="X8" s="77">
        <v>44651</v>
      </c>
    </row>
    <row r="9" spans="1:24">
      <c r="A9" s="52" t="s">
        <v>61</v>
      </c>
      <c r="B9" s="52" t="s">
        <v>51</v>
      </c>
      <c r="C9" s="52" t="s">
        <v>64</v>
      </c>
      <c r="D9" s="52"/>
      <c r="E9" s="52">
        <v>1</v>
      </c>
      <c r="F9" s="53" t="s">
        <v>54</v>
      </c>
      <c r="G9" s="52">
        <v>1</v>
      </c>
      <c r="H9" s="54">
        <v>2000</v>
      </c>
      <c r="I9" s="54">
        <f t="shared" si="0"/>
        <v>2000</v>
      </c>
      <c r="J9" s="61">
        <v>0</v>
      </c>
      <c r="K9" s="61">
        <v>0</v>
      </c>
      <c r="L9" s="61">
        <f t="shared" si="1"/>
        <v>2000</v>
      </c>
      <c r="M9" s="52">
        <v>10</v>
      </c>
      <c r="N9" s="54">
        <v>0</v>
      </c>
      <c r="O9" s="62">
        <v>0</v>
      </c>
      <c r="P9" s="54">
        <v>0</v>
      </c>
      <c r="Q9" s="62">
        <v>0</v>
      </c>
      <c r="R9" s="54">
        <v>0</v>
      </c>
      <c r="S9" s="62">
        <v>0</v>
      </c>
      <c r="T9" s="54">
        <v>2000</v>
      </c>
      <c r="U9" s="62">
        <v>1</v>
      </c>
      <c r="V9" s="75"/>
      <c r="W9" s="76">
        <v>44287</v>
      </c>
      <c r="X9" s="77">
        <v>44651</v>
      </c>
    </row>
    <row r="10" spans="1:24">
      <c r="A10" s="52" t="s">
        <v>65</v>
      </c>
      <c r="B10" s="52" t="s">
        <v>51</v>
      </c>
      <c r="C10" s="52" t="s">
        <v>52</v>
      </c>
      <c r="D10" s="52" t="s">
        <v>62</v>
      </c>
      <c r="E10" s="52">
        <v>2</v>
      </c>
      <c r="F10" s="53" t="s">
        <v>54</v>
      </c>
      <c r="G10" s="52">
        <v>2</v>
      </c>
      <c r="H10" s="54">
        <v>4500</v>
      </c>
      <c r="I10" s="54">
        <f t="shared" si="0"/>
        <v>9000</v>
      </c>
      <c r="J10" s="61">
        <v>0</v>
      </c>
      <c r="K10" s="61">
        <v>0</v>
      </c>
      <c r="L10" s="61">
        <f t="shared" si="1"/>
        <v>9000</v>
      </c>
      <c r="M10" s="52">
        <v>10</v>
      </c>
      <c r="N10" s="54">
        <v>4050</v>
      </c>
      <c r="O10" s="62">
        <v>0.45</v>
      </c>
      <c r="P10" s="54">
        <v>900</v>
      </c>
      <c r="Q10" s="62">
        <v>0.1</v>
      </c>
      <c r="R10" s="54">
        <v>2520</v>
      </c>
      <c r="S10" s="62">
        <v>0.28</v>
      </c>
      <c r="T10" s="54">
        <v>1530</v>
      </c>
      <c r="U10" s="62">
        <v>0.17</v>
      </c>
      <c r="V10" s="75"/>
      <c r="W10" s="76">
        <v>44287</v>
      </c>
      <c r="X10" s="77">
        <v>44651</v>
      </c>
    </row>
    <row r="11" spans="1:24">
      <c r="A11" s="52" t="s">
        <v>65</v>
      </c>
      <c r="B11" s="52" t="s">
        <v>51</v>
      </c>
      <c r="C11" s="52" t="s">
        <v>63</v>
      </c>
      <c r="D11" s="52"/>
      <c r="E11" s="52">
        <v>600</v>
      </c>
      <c r="F11" s="53" t="s">
        <v>54</v>
      </c>
      <c r="G11" s="52">
        <v>4</v>
      </c>
      <c r="H11" s="54">
        <v>1750</v>
      </c>
      <c r="I11" s="54">
        <f t="shared" si="0"/>
        <v>7000</v>
      </c>
      <c r="J11" s="61">
        <v>0</v>
      </c>
      <c r="K11" s="61">
        <v>0</v>
      </c>
      <c r="L11" s="61">
        <f t="shared" si="1"/>
        <v>7000</v>
      </c>
      <c r="M11" s="52">
        <v>10</v>
      </c>
      <c r="N11" s="54">
        <v>0</v>
      </c>
      <c r="O11" s="62">
        <v>0</v>
      </c>
      <c r="P11" s="54">
        <v>0</v>
      </c>
      <c r="Q11" s="62">
        <v>0</v>
      </c>
      <c r="R11" s="54">
        <v>0</v>
      </c>
      <c r="S11" s="62">
        <v>0</v>
      </c>
      <c r="T11" s="54">
        <v>8000</v>
      </c>
      <c r="U11" s="62">
        <v>1</v>
      </c>
      <c r="V11" s="75"/>
      <c r="W11" s="76">
        <v>44287</v>
      </c>
      <c r="X11" s="77">
        <v>44651</v>
      </c>
    </row>
    <row r="12" spans="1:24">
      <c r="A12" s="52" t="s">
        <v>65</v>
      </c>
      <c r="B12" s="52" t="s">
        <v>51</v>
      </c>
      <c r="C12" s="52" t="s">
        <v>66</v>
      </c>
      <c r="D12" s="52"/>
      <c r="E12" s="52">
        <v>5.5</v>
      </c>
      <c r="F12" s="53" t="s">
        <v>54</v>
      </c>
      <c r="G12" s="52">
        <v>4</v>
      </c>
      <c r="H12" s="54">
        <v>240</v>
      </c>
      <c r="I12" s="54">
        <f t="shared" si="0"/>
        <v>960</v>
      </c>
      <c r="J12" s="61">
        <v>0</v>
      </c>
      <c r="K12" s="61">
        <v>0</v>
      </c>
      <c r="L12" s="61">
        <f t="shared" si="1"/>
        <v>960</v>
      </c>
      <c r="M12" s="52">
        <v>10</v>
      </c>
      <c r="N12" s="54">
        <v>864</v>
      </c>
      <c r="O12" s="62">
        <v>0.45</v>
      </c>
      <c r="P12" s="54">
        <v>192</v>
      </c>
      <c r="Q12" s="62">
        <v>0.1</v>
      </c>
      <c r="R12" s="54">
        <v>537.6</v>
      </c>
      <c r="S12" s="62">
        <v>0.28</v>
      </c>
      <c r="T12" s="54">
        <v>326.4</v>
      </c>
      <c r="U12" s="62">
        <v>0.17</v>
      </c>
      <c r="V12" s="75"/>
      <c r="W12" s="76">
        <v>44287</v>
      </c>
      <c r="X12" s="77">
        <v>44651</v>
      </c>
    </row>
    <row r="13" spans="1:24">
      <c r="A13" s="52" t="s">
        <v>65</v>
      </c>
      <c r="B13" s="52" t="s">
        <v>51</v>
      </c>
      <c r="C13" s="52" t="s">
        <v>67</v>
      </c>
      <c r="D13" s="52"/>
      <c r="E13" s="52">
        <v>30</v>
      </c>
      <c r="F13" s="53" t="s">
        <v>54</v>
      </c>
      <c r="G13" s="52">
        <v>6</v>
      </c>
      <c r="H13" s="54">
        <v>480</v>
      </c>
      <c r="I13" s="54">
        <f t="shared" si="0"/>
        <v>2880</v>
      </c>
      <c r="J13" s="61">
        <v>0</v>
      </c>
      <c r="K13" s="61">
        <v>0</v>
      </c>
      <c r="L13" s="61">
        <f t="shared" si="1"/>
        <v>2880</v>
      </c>
      <c r="M13" s="52">
        <v>10</v>
      </c>
      <c r="N13" s="54">
        <v>2160</v>
      </c>
      <c r="O13" s="62">
        <v>0.45</v>
      </c>
      <c r="P13" s="54">
        <v>480</v>
      </c>
      <c r="Q13" s="62">
        <v>0.1</v>
      </c>
      <c r="R13" s="54">
        <v>1344</v>
      </c>
      <c r="S13" s="62">
        <v>0.28</v>
      </c>
      <c r="T13" s="54">
        <v>816</v>
      </c>
      <c r="U13" s="62">
        <v>0.17</v>
      </c>
      <c r="V13" s="75"/>
      <c r="W13" s="76">
        <v>44287</v>
      </c>
      <c r="X13" s="77">
        <v>44651</v>
      </c>
    </row>
    <row r="14" spans="1:24">
      <c r="A14" s="52" t="s">
        <v>65</v>
      </c>
      <c r="B14" s="52" t="s">
        <v>51</v>
      </c>
      <c r="C14" s="52" t="s">
        <v>67</v>
      </c>
      <c r="D14" s="52"/>
      <c r="E14" s="52">
        <v>55</v>
      </c>
      <c r="F14" s="53" t="s">
        <v>54</v>
      </c>
      <c r="G14" s="52">
        <v>4</v>
      </c>
      <c r="H14" s="54">
        <v>800</v>
      </c>
      <c r="I14" s="54">
        <f t="shared" si="0"/>
        <v>3200</v>
      </c>
      <c r="J14" s="61">
        <v>0</v>
      </c>
      <c r="K14" s="61">
        <v>0</v>
      </c>
      <c r="L14" s="61">
        <f t="shared" si="1"/>
        <v>3200</v>
      </c>
      <c r="M14" s="52">
        <v>10</v>
      </c>
      <c r="N14" s="54">
        <v>3240</v>
      </c>
      <c r="O14" s="62">
        <v>0.45</v>
      </c>
      <c r="P14" s="54">
        <v>720</v>
      </c>
      <c r="Q14" s="62">
        <v>0.1</v>
      </c>
      <c r="R14" s="54">
        <v>2016</v>
      </c>
      <c r="S14" s="62">
        <v>0.28</v>
      </c>
      <c r="T14" s="54">
        <v>1224</v>
      </c>
      <c r="U14" s="62">
        <v>0.17</v>
      </c>
      <c r="V14" s="75"/>
      <c r="W14" s="76">
        <v>44287</v>
      </c>
      <c r="X14" s="77">
        <v>44651</v>
      </c>
    </row>
    <row r="15" spans="1:24">
      <c r="A15" s="52" t="s">
        <v>68</v>
      </c>
      <c r="B15" s="52" t="s">
        <v>51</v>
      </c>
      <c r="C15" s="52" t="s">
        <v>52</v>
      </c>
      <c r="D15" s="52" t="s">
        <v>69</v>
      </c>
      <c r="E15" s="52">
        <v>2</v>
      </c>
      <c r="F15" s="53" t="s">
        <v>54</v>
      </c>
      <c r="G15" s="52">
        <v>1</v>
      </c>
      <c r="H15" s="54">
        <v>4500</v>
      </c>
      <c r="I15" s="54">
        <f t="shared" si="0"/>
        <v>4500</v>
      </c>
      <c r="J15" s="61">
        <v>0</v>
      </c>
      <c r="K15" s="61">
        <v>0</v>
      </c>
      <c r="L15" s="61">
        <f t="shared" si="1"/>
        <v>4500</v>
      </c>
      <c r="M15" s="52">
        <v>10</v>
      </c>
      <c r="N15" s="54">
        <v>2025</v>
      </c>
      <c r="O15" s="62">
        <v>0.45</v>
      </c>
      <c r="P15" s="54">
        <v>450</v>
      </c>
      <c r="Q15" s="62">
        <v>0.1</v>
      </c>
      <c r="R15" s="54">
        <v>1260</v>
      </c>
      <c r="S15" s="62">
        <v>0.28</v>
      </c>
      <c r="T15" s="54">
        <v>765</v>
      </c>
      <c r="U15" s="62">
        <v>0.17</v>
      </c>
      <c r="V15" s="75"/>
      <c r="W15" s="76">
        <v>44287</v>
      </c>
      <c r="X15" s="77">
        <v>44651</v>
      </c>
    </row>
    <row r="16" spans="1:24">
      <c r="A16" s="52" t="s">
        <v>68</v>
      </c>
      <c r="B16" s="52" t="s">
        <v>51</v>
      </c>
      <c r="C16" s="52" t="s">
        <v>63</v>
      </c>
      <c r="D16" s="52"/>
      <c r="E16" s="52">
        <v>0</v>
      </c>
      <c r="F16" s="53" t="s">
        <v>54</v>
      </c>
      <c r="G16" s="52">
        <v>1</v>
      </c>
      <c r="H16" s="54">
        <v>1250</v>
      </c>
      <c r="I16" s="54">
        <f t="shared" si="0"/>
        <v>1250</v>
      </c>
      <c r="J16" s="61">
        <v>0</v>
      </c>
      <c r="K16" s="61">
        <v>0</v>
      </c>
      <c r="L16" s="61">
        <f t="shared" si="1"/>
        <v>1250</v>
      </c>
      <c r="M16" s="52">
        <v>10</v>
      </c>
      <c r="N16" s="54">
        <v>0</v>
      </c>
      <c r="O16" s="62">
        <v>0</v>
      </c>
      <c r="P16" s="54">
        <v>0</v>
      </c>
      <c r="Q16" s="62">
        <v>0</v>
      </c>
      <c r="R16" s="54">
        <v>0</v>
      </c>
      <c r="S16" s="62">
        <v>0</v>
      </c>
      <c r="T16" s="54">
        <v>1250</v>
      </c>
      <c r="U16" s="62">
        <v>1</v>
      </c>
      <c r="V16" s="75"/>
      <c r="W16" s="76">
        <v>44287</v>
      </c>
      <c r="X16" s="77">
        <v>44651</v>
      </c>
    </row>
    <row r="17" spans="1:24">
      <c r="A17" s="52" t="s">
        <v>68</v>
      </c>
      <c r="B17" s="52" t="s">
        <v>51</v>
      </c>
      <c r="C17" s="52" t="s">
        <v>64</v>
      </c>
      <c r="D17" s="52"/>
      <c r="E17" s="52">
        <v>1</v>
      </c>
      <c r="F17" s="53" t="s">
        <v>54</v>
      </c>
      <c r="G17" s="52">
        <v>1</v>
      </c>
      <c r="H17" s="54">
        <v>2000</v>
      </c>
      <c r="I17" s="54">
        <f t="shared" si="0"/>
        <v>2000</v>
      </c>
      <c r="J17" s="61">
        <v>0</v>
      </c>
      <c r="K17" s="61">
        <v>0</v>
      </c>
      <c r="L17" s="61">
        <f t="shared" si="1"/>
        <v>2000</v>
      </c>
      <c r="M17" s="52">
        <v>10</v>
      </c>
      <c r="N17" s="54">
        <v>0</v>
      </c>
      <c r="O17" s="62">
        <v>0</v>
      </c>
      <c r="P17" s="54">
        <v>0</v>
      </c>
      <c r="Q17" s="62">
        <v>0</v>
      </c>
      <c r="R17" s="54">
        <v>0</v>
      </c>
      <c r="S17" s="62">
        <v>0</v>
      </c>
      <c r="T17" s="54">
        <v>2000</v>
      </c>
      <c r="U17" s="62">
        <v>1</v>
      </c>
      <c r="V17" s="75"/>
      <c r="W17" s="76">
        <v>44287</v>
      </c>
      <c r="X17" s="77">
        <v>44651</v>
      </c>
    </row>
    <row r="18" s="47" customFormat="1" spans="1:25">
      <c r="A18" s="49" t="s">
        <v>70</v>
      </c>
      <c r="B18" s="49" t="s">
        <v>51</v>
      </c>
      <c r="C18" s="49" t="s">
        <v>52</v>
      </c>
      <c r="D18" s="49" t="s">
        <v>69</v>
      </c>
      <c r="E18" s="49">
        <v>2</v>
      </c>
      <c r="F18" s="55" t="s">
        <v>54</v>
      </c>
      <c r="G18" s="49">
        <v>2</v>
      </c>
      <c r="H18" s="56">
        <v>4500</v>
      </c>
      <c r="I18" s="56">
        <f t="shared" si="0"/>
        <v>9000</v>
      </c>
      <c r="J18" s="63">
        <v>0</v>
      </c>
      <c r="K18" s="64">
        <f>I18*(1-28%)</f>
        <v>6480</v>
      </c>
      <c r="L18" s="63">
        <f t="shared" si="1"/>
        <v>2520</v>
      </c>
      <c r="M18" s="49">
        <v>10</v>
      </c>
      <c r="N18" s="56">
        <v>4050</v>
      </c>
      <c r="O18" s="65">
        <v>0.45</v>
      </c>
      <c r="P18" s="56">
        <v>900</v>
      </c>
      <c r="Q18" s="65">
        <v>0.1</v>
      </c>
      <c r="R18" s="56">
        <v>2520</v>
      </c>
      <c r="S18" s="65">
        <v>0.28</v>
      </c>
      <c r="T18" s="56">
        <v>1530</v>
      </c>
      <c r="U18" s="65">
        <v>0.17</v>
      </c>
      <c r="V18" s="78"/>
      <c r="W18" s="79">
        <v>44287</v>
      </c>
      <c r="X18" s="80">
        <v>44317</v>
      </c>
      <c r="Y18" s="47" t="s">
        <v>71</v>
      </c>
    </row>
    <row r="19" spans="1:24">
      <c r="A19" s="52" t="s">
        <v>72</v>
      </c>
      <c r="B19" s="52" t="s">
        <v>51</v>
      </c>
      <c r="C19" s="52" t="s">
        <v>52</v>
      </c>
      <c r="D19" s="52" t="s">
        <v>73</v>
      </c>
      <c r="E19" s="52">
        <v>2</v>
      </c>
      <c r="F19" s="53" t="s">
        <v>54</v>
      </c>
      <c r="G19" s="52">
        <v>2</v>
      </c>
      <c r="H19" s="54">
        <v>4500</v>
      </c>
      <c r="I19" s="54">
        <f t="shared" si="0"/>
        <v>9000</v>
      </c>
      <c r="J19" s="61">
        <v>0</v>
      </c>
      <c r="K19" s="64">
        <f>I19*(1-28%-4.5%*2)</f>
        <v>5670</v>
      </c>
      <c r="L19" s="61">
        <f t="shared" si="1"/>
        <v>3330</v>
      </c>
      <c r="M19" s="52">
        <v>10</v>
      </c>
      <c r="N19" s="54">
        <v>4050</v>
      </c>
      <c r="O19" s="62">
        <v>0.45</v>
      </c>
      <c r="P19" s="54">
        <v>900</v>
      </c>
      <c r="Q19" s="62">
        <v>0.1</v>
      </c>
      <c r="R19" s="54">
        <v>2520</v>
      </c>
      <c r="S19" s="62">
        <v>0.28</v>
      </c>
      <c r="T19" s="54">
        <v>1530</v>
      </c>
      <c r="U19" s="62">
        <v>0.17</v>
      </c>
      <c r="V19" s="75"/>
      <c r="W19" s="76">
        <v>44287</v>
      </c>
      <c r="X19" s="77">
        <v>44377</v>
      </c>
    </row>
    <row r="20" spans="1:24">
      <c r="A20" s="52" t="s">
        <v>74</v>
      </c>
      <c r="B20" s="52" t="s">
        <v>51</v>
      </c>
      <c r="C20" s="52" t="s">
        <v>52</v>
      </c>
      <c r="D20" s="52" t="s">
        <v>53</v>
      </c>
      <c r="E20" s="52">
        <v>2</v>
      </c>
      <c r="F20" s="53" t="s">
        <v>54</v>
      </c>
      <c r="G20" s="52">
        <v>1</v>
      </c>
      <c r="H20" s="54">
        <v>4500</v>
      </c>
      <c r="I20" s="54">
        <f t="shared" si="0"/>
        <v>4500</v>
      </c>
      <c r="J20" s="61">
        <v>0</v>
      </c>
      <c r="K20" s="64">
        <f>I20*(1-28%-4.5%*3)</f>
        <v>2632.5</v>
      </c>
      <c r="L20" s="61">
        <f t="shared" si="1"/>
        <v>1867.5</v>
      </c>
      <c r="M20" s="52">
        <v>10</v>
      </c>
      <c r="N20" s="54">
        <v>2025</v>
      </c>
      <c r="O20" s="62">
        <v>0.45</v>
      </c>
      <c r="P20" s="54">
        <v>450</v>
      </c>
      <c r="Q20" s="62">
        <v>0.1</v>
      </c>
      <c r="R20" s="54">
        <v>1260</v>
      </c>
      <c r="S20" s="62">
        <v>0.28</v>
      </c>
      <c r="T20" s="54">
        <v>765</v>
      </c>
      <c r="U20" s="62">
        <v>0.17</v>
      </c>
      <c r="V20" s="75"/>
      <c r="W20" s="76">
        <v>44287</v>
      </c>
      <c r="X20" s="77">
        <v>44408</v>
      </c>
    </row>
    <row r="21" spans="1:24">
      <c r="A21" s="52" t="s">
        <v>74</v>
      </c>
      <c r="B21" s="52" t="s">
        <v>51</v>
      </c>
      <c r="C21" s="52" t="s">
        <v>63</v>
      </c>
      <c r="D21" s="52"/>
      <c r="E21" s="52">
        <v>0</v>
      </c>
      <c r="F21" s="53" t="s">
        <v>54</v>
      </c>
      <c r="G21" s="52">
        <v>1</v>
      </c>
      <c r="H21" s="54">
        <v>1250</v>
      </c>
      <c r="I21" s="54">
        <f t="shared" si="0"/>
        <v>1250</v>
      </c>
      <c r="J21" s="61">
        <v>0</v>
      </c>
      <c r="K21" s="64">
        <f>I21*(1-28%-4.5%*3)</f>
        <v>731.25</v>
      </c>
      <c r="L21" s="61">
        <f t="shared" si="1"/>
        <v>518.75</v>
      </c>
      <c r="M21" s="52">
        <v>10</v>
      </c>
      <c r="N21" s="54">
        <v>562.5</v>
      </c>
      <c r="O21" s="62">
        <v>0.45</v>
      </c>
      <c r="P21" s="54">
        <v>125</v>
      </c>
      <c r="Q21" s="62">
        <v>0.1</v>
      </c>
      <c r="R21" s="54">
        <v>350</v>
      </c>
      <c r="S21" s="62">
        <v>0.28</v>
      </c>
      <c r="T21" s="54">
        <v>212.5</v>
      </c>
      <c r="U21" s="62">
        <v>0.17</v>
      </c>
      <c r="V21" s="75"/>
      <c r="W21" s="76">
        <v>44287</v>
      </c>
      <c r="X21" s="77">
        <v>44408</v>
      </c>
    </row>
    <row r="22" s="47" customFormat="1" spans="1:24">
      <c r="A22" s="49" t="s">
        <v>75</v>
      </c>
      <c r="B22" s="49" t="s">
        <v>51</v>
      </c>
      <c r="C22" s="49" t="s">
        <v>52</v>
      </c>
      <c r="D22" s="49" t="s">
        <v>60</v>
      </c>
      <c r="E22" s="49">
        <v>2</v>
      </c>
      <c r="F22" s="55" t="s">
        <v>54</v>
      </c>
      <c r="G22" s="49">
        <v>1</v>
      </c>
      <c r="H22" s="56">
        <v>4500</v>
      </c>
      <c r="I22" s="56">
        <f t="shared" si="0"/>
        <v>4500</v>
      </c>
      <c r="J22" s="63">
        <v>0</v>
      </c>
      <c r="K22" s="64">
        <f>I22*(1-28%-4.5%*2)</f>
        <v>2835</v>
      </c>
      <c r="L22" s="63">
        <f t="shared" si="1"/>
        <v>1665</v>
      </c>
      <c r="M22" s="49">
        <v>10</v>
      </c>
      <c r="N22" s="56">
        <v>2025</v>
      </c>
      <c r="O22" s="65">
        <v>0.45</v>
      </c>
      <c r="P22" s="56">
        <v>450</v>
      </c>
      <c r="Q22" s="65">
        <v>0.1</v>
      </c>
      <c r="R22" s="56">
        <v>1260</v>
      </c>
      <c r="S22" s="65">
        <v>0.28</v>
      </c>
      <c r="T22" s="56">
        <v>765</v>
      </c>
      <c r="U22" s="65">
        <v>0.17</v>
      </c>
      <c r="V22" s="78"/>
      <c r="W22" s="79">
        <v>44287</v>
      </c>
      <c r="X22" s="80">
        <v>44361</v>
      </c>
    </row>
    <row r="23" spans="1:24">
      <c r="A23" s="49" t="s">
        <v>75</v>
      </c>
      <c r="B23" s="49" t="s">
        <v>51</v>
      </c>
      <c r="C23" s="49" t="s">
        <v>63</v>
      </c>
      <c r="D23" s="49"/>
      <c r="E23" s="49">
        <v>0</v>
      </c>
      <c r="F23" s="55" t="s">
        <v>54</v>
      </c>
      <c r="G23" s="49">
        <v>1</v>
      </c>
      <c r="H23" s="56">
        <v>1250</v>
      </c>
      <c r="I23" s="56">
        <f t="shared" si="0"/>
        <v>1250</v>
      </c>
      <c r="J23" s="63">
        <v>0</v>
      </c>
      <c r="K23" s="64">
        <f>I23*(1-28%-4.5%*2)</f>
        <v>787.5</v>
      </c>
      <c r="L23" s="63">
        <f t="shared" si="1"/>
        <v>462.5</v>
      </c>
      <c r="M23" s="66">
        <v>10</v>
      </c>
      <c r="N23" s="67">
        <v>562.5</v>
      </c>
      <c r="O23" s="68">
        <v>0.45</v>
      </c>
      <c r="P23" s="67">
        <v>125</v>
      </c>
      <c r="Q23" s="68">
        <v>0.1</v>
      </c>
      <c r="R23" s="67">
        <v>350</v>
      </c>
      <c r="S23" s="68">
        <v>0.28</v>
      </c>
      <c r="T23" s="67">
        <v>212.5</v>
      </c>
      <c r="U23" s="68">
        <v>0.17</v>
      </c>
      <c r="V23" s="81"/>
      <c r="W23" s="79">
        <v>44287</v>
      </c>
      <c r="X23" s="80">
        <v>44361</v>
      </c>
    </row>
    <row r="24" spans="1:25">
      <c r="A24" s="49" t="s">
        <v>76</v>
      </c>
      <c r="B24" s="49" t="s">
        <v>51</v>
      </c>
      <c r="C24" s="57" t="s">
        <v>52</v>
      </c>
      <c r="D24" s="57" t="s">
        <v>69</v>
      </c>
      <c r="E24" s="57">
        <v>2</v>
      </c>
      <c r="F24" s="58" t="s">
        <v>54</v>
      </c>
      <c r="G24" s="57">
        <v>2</v>
      </c>
      <c r="H24" s="59">
        <v>4500</v>
      </c>
      <c r="I24" s="59">
        <f t="shared" si="0"/>
        <v>9000</v>
      </c>
      <c r="J24" s="69">
        <v>0</v>
      </c>
      <c r="K24" s="64">
        <f>I24*(1-28%-4.5%*2)</f>
        <v>5670</v>
      </c>
      <c r="L24" s="69">
        <f t="shared" si="1"/>
        <v>3330</v>
      </c>
      <c r="M24" s="70">
        <v>10</v>
      </c>
      <c r="N24" s="71">
        <v>4950</v>
      </c>
      <c r="O24" s="72">
        <v>0.45</v>
      </c>
      <c r="P24" s="71">
        <v>1100</v>
      </c>
      <c r="Q24" s="72">
        <v>0.1</v>
      </c>
      <c r="R24" s="71">
        <v>3080</v>
      </c>
      <c r="S24" s="72">
        <v>0.28</v>
      </c>
      <c r="T24" s="71">
        <v>1870</v>
      </c>
      <c r="U24" s="72">
        <v>0.17</v>
      </c>
      <c r="V24" s="81"/>
      <c r="W24" s="79">
        <v>44287</v>
      </c>
      <c r="X24" s="80">
        <v>44377</v>
      </c>
      <c r="Y24" s="48" t="s">
        <v>77</v>
      </c>
    </row>
    <row r="25" spans="1:24">
      <c r="A25" s="52" t="s">
        <v>78</v>
      </c>
      <c r="B25" s="52" t="s">
        <v>51</v>
      </c>
      <c r="C25" s="52" t="s">
        <v>52</v>
      </c>
      <c r="D25" s="52" t="s">
        <v>73</v>
      </c>
      <c r="E25" s="52">
        <v>2</v>
      </c>
      <c r="F25" s="53" t="s">
        <v>54</v>
      </c>
      <c r="G25" s="52">
        <v>2</v>
      </c>
      <c r="H25" s="54">
        <v>4500</v>
      </c>
      <c r="I25" s="54">
        <f t="shared" si="0"/>
        <v>9000</v>
      </c>
      <c r="J25" s="61">
        <v>0</v>
      </c>
      <c r="K25" s="63">
        <v>0</v>
      </c>
      <c r="L25" s="61">
        <f t="shared" si="1"/>
        <v>9000</v>
      </c>
      <c r="M25" s="52">
        <v>10</v>
      </c>
      <c r="N25" s="54">
        <v>4950</v>
      </c>
      <c r="O25" s="62">
        <v>0.45</v>
      </c>
      <c r="P25" s="54">
        <v>1100</v>
      </c>
      <c r="Q25" s="62">
        <v>0.1</v>
      </c>
      <c r="R25" s="54">
        <v>3080</v>
      </c>
      <c r="S25" s="62">
        <v>0.28</v>
      </c>
      <c r="T25" s="54">
        <v>1870</v>
      </c>
      <c r="U25" s="62">
        <v>0.17</v>
      </c>
      <c r="V25" s="62"/>
      <c r="W25" s="82">
        <v>44287</v>
      </c>
      <c r="X25" s="83">
        <v>44651</v>
      </c>
    </row>
    <row r="26" spans="1:24">
      <c r="A26" s="52" t="s">
        <v>79</v>
      </c>
      <c r="B26" s="52" t="s">
        <v>51</v>
      </c>
      <c r="C26" s="52" t="s">
        <v>52</v>
      </c>
      <c r="D26" s="52" t="s">
        <v>53</v>
      </c>
      <c r="E26" s="52">
        <v>2</v>
      </c>
      <c r="F26" s="53" t="s">
        <v>54</v>
      </c>
      <c r="G26" s="52">
        <v>1</v>
      </c>
      <c r="H26" s="54">
        <v>4500</v>
      </c>
      <c r="I26" s="54">
        <f t="shared" si="0"/>
        <v>4500</v>
      </c>
      <c r="J26" s="61">
        <v>0</v>
      </c>
      <c r="K26" s="63">
        <v>0</v>
      </c>
      <c r="L26" s="61">
        <f t="shared" si="1"/>
        <v>4500</v>
      </c>
      <c r="M26" s="52">
        <v>10</v>
      </c>
      <c r="N26" s="54">
        <v>2475</v>
      </c>
      <c r="O26" s="62">
        <v>0.45</v>
      </c>
      <c r="P26" s="54">
        <v>550</v>
      </c>
      <c r="Q26" s="62">
        <v>0.1</v>
      </c>
      <c r="R26" s="54">
        <v>1540</v>
      </c>
      <c r="S26" s="62">
        <v>0.28</v>
      </c>
      <c r="T26" s="54">
        <v>935</v>
      </c>
      <c r="U26" s="62">
        <v>0.17</v>
      </c>
      <c r="V26" s="62"/>
      <c r="W26" s="82">
        <v>44287</v>
      </c>
      <c r="X26" s="83">
        <v>44651</v>
      </c>
    </row>
    <row r="27" spans="1:24">
      <c r="A27" s="52" t="s">
        <v>80</v>
      </c>
      <c r="B27" s="52" t="s">
        <v>51</v>
      </c>
      <c r="C27" s="52" t="s">
        <v>52</v>
      </c>
      <c r="D27" s="52" t="s">
        <v>60</v>
      </c>
      <c r="E27" s="52">
        <v>2</v>
      </c>
      <c r="F27" s="53" t="s">
        <v>54</v>
      </c>
      <c r="G27" s="52">
        <v>2</v>
      </c>
      <c r="H27" s="54">
        <v>4500</v>
      </c>
      <c r="I27" s="54">
        <f t="shared" si="0"/>
        <v>9000</v>
      </c>
      <c r="J27" s="61">
        <v>0</v>
      </c>
      <c r="K27" s="63">
        <v>0</v>
      </c>
      <c r="L27" s="61">
        <f t="shared" si="1"/>
        <v>9000</v>
      </c>
      <c r="M27" s="52">
        <v>10</v>
      </c>
      <c r="N27" s="54">
        <v>4950</v>
      </c>
      <c r="O27" s="62">
        <v>0.45</v>
      </c>
      <c r="P27" s="54">
        <v>1100</v>
      </c>
      <c r="Q27" s="62">
        <v>0.1</v>
      </c>
      <c r="R27" s="54">
        <v>3080</v>
      </c>
      <c r="S27" s="62">
        <v>0.28</v>
      </c>
      <c r="T27" s="54">
        <v>1870</v>
      </c>
      <c r="U27" s="62">
        <v>0.17</v>
      </c>
      <c r="V27" s="62"/>
      <c r="W27" s="82">
        <v>44287</v>
      </c>
      <c r="X27" s="83">
        <v>44651</v>
      </c>
    </row>
    <row r="28" spans="1:24">
      <c r="A28" s="52" t="s">
        <v>80</v>
      </c>
      <c r="B28" s="52" t="s">
        <v>51</v>
      </c>
      <c r="C28" s="52" t="s">
        <v>63</v>
      </c>
      <c r="D28" s="52"/>
      <c r="E28" s="52">
        <v>600</v>
      </c>
      <c r="F28" s="53" t="s">
        <v>54</v>
      </c>
      <c r="G28" s="52">
        <v>2</v>
      </c>
      <c r="H28" s="54">
        <v>1750</v>
      </c>
      <c r="I28" s="54">
        <f t="shared" si="0"/>
        <v>3500</v>
      </c>
      <c r="J28" s="61">
        <v>0</v>
      </c>
      <c r="K28" s="63">
        <v>0</v>
      </c>
      <c r="L28" s="61">
        <f t="shared" si="1"/>
        <v>3500</v>
      </c>
      <c r="M28" s="52">
        <v>10</v>
      </c>
      <c r="N28" s="54">
        <v>0</v>
      </c>
      <c r="O28" s="62">
        <v>0</v>
      </c>
      <c r="P28" s="54">
        <v>0</v>
      </c>
      <c r="Q28" s="62">
        <v>0</v>
      </c>
      <c r="R28" s="54">
        <v>0</v>
      </c>
      <c r="S28" s="62">
        <v>0</v>
      </c>
      <c r="T28" s="54">
        <v>6000</v>
      </c>
      <c r="U28" s="62">
        <v>1</v>
      </c>
      <c r="V28" s="62"/>
      <c r="W28" s="82">
        <v>44287</v>
      </c>
      <c r="X28" s="83">
        <v>44651</v>
      </c>
    </row>
    <row r="29" spans="1:24">
      <c r="A29" s="52" t="s">
        <v>80</v>
      </c>
      <c r="B29" s="52" t="s">
        <v>51</v>
      </c>
      <c r="C29" s="52" t="s">
        <v>81</v>
      </c>
      <c r="D29" s="52"/>
      <c r="E29" s="52">
        <v>55</v>
      </c>
      <c r="F29" s="53" t="s">
        <v>54</v>
      </c>
      <c r="G29" s="52">
        <v>3</v>
      </c>
      <c r="H29" s="54">
        <v>1000</v>
      </c>
      <c r="I29" s="54">
        <f t="shared" si="0"/>
        <v>3000</v>
      </c>
      <c r="J29" s="61">
        <v>0</v>
      </c>
      <c r="K29" s="63">
        <v>0</v>
      </c>
      <c r="L29" s="61">
        <f t="shared" si="1"/>
        <v>3000</v>
      </c>
      <c r="M29" s="52">
        <v>10</v>
      </c>
      <c r="N29" s="54">
        <v>3780</v>
      </c>
      <c r="O29" s="62">
        <v>0.45</v>
      </c>
      <c r="P29" s="54">
        <v>840</v>
      </c>
      <c r="Q29" s="62">
        <v>0.1</v>
      </c>
      <c r="R29" s="54">
        <v>2352</v>
      </c>
      <c r="S29" s="62">
        <v>0.28</v>
      </c>
      <c r="T29" s="54">
        <v>1428</v>
      </c>
      <c r="U29" s="62">
        <v>0.17</v>
      </c>
      <c r="V29" s="62"/>
      <c r="W29" s="82">
        <v>44287</v>
      </c>
      <c r="X29" s="83">
        <v>44651</v>
      </c>
    </row>
    <row r="30" spans="1:24">
      <c r="A30" s="52" t="s">
        <v>80</v>
      </c>
      <c r="B30" s="52" t="s">
        <v>51</v>
      </c>
      <c r="C30" s="52" t="s">
        <v>81</v>
      </c>
      <c r="D30" s="52"/>
      <c r="E30" s="52">
        <v>30</v>
      </c>
      <c r="F30" s="53" t="s">
        <v>54</v>
      </c>
      <c r="G30" s="52">
        <v>3</v>
      </c>
      <c r="H30" s="54">
        <v>560</v>
      </c>
      <c r="I30" s="54">
        <f t="shared" si="0"/>
        <v>1680</v>
      </c>
      <c r="J30" s="61">
        <v>0</v>
      </c>
      <c r="K30" s="63">
        <v>0</v>
      </c>
      <c r="L30" s="61">
        <f t="shared" si="1"/>
        <v>1680</v>
      </c>
      <c r="M30" s="52">
        <v>10</v>
      </c>
      <c r="N30" s="54">
        <v>1350</v>
      </c>
      <c r="O30" s="62">
        <v>0.45</v>
      </c>
      <c r="P30" s="54">
        <v>300</v>
      </c>
      <c r="Q30" s="62">
        <v>0.1</v>
      </c>
      <c r="R30" s="54">
        <v>840</v>
      </c>
      <c r="S30" s="62">
        <v>0.28</v>
      </c>
      <c r="T30" s="54">
        <v>510</v>
      </c>
      <c r="U30" s="62">
        <v>0.17</v>
      </c>
      <c r="V30" s="62"/>
      <c r="W30" s="82">
        <v>44287</v>
      </c>
      <c r="X30" s="83">
        <v>44651</v>
      </c>
    </row>
    <row r="31" spans="1:24">
      <c r="A31" s="52" t="s">
        <v>80</v>
      </c>
      <c r="B31" s="52" t="s">
        <v>51</v>
      </c>
      <c r="C31" s="52" t="s">
        <v>64</v>
      </c>
      <c r="D31" s="52"/>
      <c r="E31" s="52">
        <v>1</v>
      </c>
      <c r="F31" s="53" t="s">
        <v>54</v>
      </c>
      <c r="G31" s="52">
        <v>1</v>
      </c>
      <c r="H31" s="54">
        <v>2000</v>
      </c>
      <c r="I31" s="54">
        <f t="shared" si="0"/>
        <v>2000</v>
      </c>
      <c r="J31" s="61">
        <v>0</v>
      </c>
      <c r="K31" s="63">
        <v>0</v>
      </c>
      <c r="L31" s="61">
        <f t="shared" si="1"/>
        <v>2000</v>
      </c>
      <c r="M31" s="52">
        <v>10</v>
      </c>
      <c r="N31" s="54">
        <v>0</v>
      </c>
      <c r="O31" s="62">
        <v>0</v>
      </c>
      <c r="P31" s="54">
        <v>0</v>
      </c>
      <c r="Q31" s="62">
        <v>0</v>
      </c>
      <c r="R31" s="54">
        <v>0</v>
      </c>
      <c r="S31" s="62">
        <v>0</v>
      </c>
      <c r="T31" s="54">
        <v>2000</v>
      </c>
      <c r="U31" s="62">
        <v>1</v>
      </c>
      <c r="V31" s="62"/>
      <c r="W31" s="82">
        <v>44287</v>
      </c>
      <c r="X31" s="83">
        <v>44651</v>
      </c>
    </row>
    <row r="32" spans="1:24">
      <c r="A32" s="52" t="s">
        <v>82</v>
      </c>
      <c r="B32" s="52" t="s">
        <v>51</v>
      </c>
      <c r="C32" s="52" t="s">
        <v>52</v>
      </c>
      <c r="D32" s="52" t="s">
        <v>57</v>
      </c>
      <c r="E32" s="52">
        <v>1</v>
      </c>
      <c r="F32" s="53" t="s">
        <v>54</v>
      </c>
      <c r="G32" s="52">
        <v>1</v>
      </c>
      <c r="H32" s="54">
        <v>3000</v>
      </c>
      <c r="I32" s="54">
        <f t="shared" si="0"/>
        <v>3000</v>
      </c>
      <c r="J32" s="61">
        <v>0</v>
      </c>
      <c r="K32" s="64">
        <f>I32*4.5%*5</f>
        <v>675</v>
      </c>
      <c r="L32" s="61">
        <f t="shared" si="1"/>
        <v>2325</v>
      </c>
      <c r="M32" s="52">
        <v>5</v>
      </c>
      <c r="N32" s="54">
        <v>2190</v>
      </c>
      <c r="O32" s="62">
        <v>0.73</v>
      </c>
      <c r="P32" s="54">
        <v>300</v>
      </c>
      <c r="Q32" s="62">
        <v>0.1</v>
      </c>
      <c r="R32" s="54">
        <v>0</v>
      </c>
      <c r="S32" s="62">
        <v>0</v>
      </c>
      <c r="T32" s="54">
        <v>510</v>
      </c>
      <c r="U32" s="62">
        <v>0.17</v>
      </c>
      <c r="V32" s="62"/>
      <c r="W32" s="82">
        <v>44470</v>
      </c>
      <c r="X32" s="82">
        <v>44635</v>
      </c>
    </row>
    <row r="33" spans="1:24">
      <c r="A33" s="52" t="s">
        <v>83</v>
      </c>
      <c r="B33" s="52" t="s">
        <v>51</v>
      </c>
      <c r="C33" s="52" t="s">
        <v>52</v>
      </c>
      <c r="D33" s="52" t="s">
        <v>57</v>
      </c>
      <c r="E33" s="52">
        <v>1</v>
      </c>
      <c r="F33" s="53" t="s">
        <v>54</v>
      </c>
      <c r="G33" s="52">
        <v>1</v>
      </c>
      <c r="H33" s="54">
        <v>3000</v>
      </c>
      <c r="I33" s="54">
        <f t="shared" si="0"/>
        <v>3000</v>
      </c>
      <c r="J33" s="61">
        <v>0</v>
      </c>
      <c r="K33" s="64">
        <f t="shared" ref="K32:K37" si="2">I33*4.5%*5</f>
        <v>675</v>
      </c>
      <c r="L33" s="61">
        <f t="shared" si="1"/>
        <v>2325</v>
      </c>
      <c r="M33" s="52">
        <v>5</v>
      </c>
      <c r="N33" s="54">
        <v>2190</v>
      </c>
      <c r="O33" s="62">
        <v>0.73</v>
      </c>
      <c r="P33" s="54">
        <v>300</v>
      </c>
      <c r="Q33" s="62">
        <v>0.1</v>
      </c>
      <c r="R33" s="54">
        <v>0</v>
      </c>
      <c r="S33" s="62">
        <v>0</v>
      </c>
      <c r="T33" s="54">
        <v>510</v>
      </c>
      <c r="U33" s="62">
        <v>0.17</v>
      </c>
      <c r="V33" s="62"/>
      <c r="W33" s="82">
        <v>44470</v>
      </c>
      <c r="X33" s="82">
        <v>44635</v>
      </c>
    </row>
    <row r="34" spans="1:24">
      <c r="A34" s="52" t="s">
        <v>84</v>
      </c>
      <c r="B34" s="52" t="s">
        <v>51</v>
      </c>
      <c r="C34" s="52" t="s">
        <v>52</v>
      </c>
      <c r="D34" s="52" t="s">
        <v>57</v>
      </c>
      <c r="E34" s="52">
        <v>1</v>
      </c>
      <c r="F34" s="53" t="s">
        <v>54</v>
      </c>
      <c r="G34" s="52">
        <v>2</v>
      </c>
      <c r="H34" s="54">
        <v>3000</v>
      </c>
      <c r="I34" s="54">
        <f t="shared" si="0"/>
        <v>6000</v>
      </c>
      <c r="J34" s="61">
        <v>0</v>
      </c>
      <c r="K34" s="64">
        <f t="shared" si="2"/>
        <v>1350</v>
      </c>
      <c r="L34" s="61">
        <f t="shared" si="1"/>
        <v>4650</v>
      </c>
      <c r="M34" s="52">
        <v>5</v>
      </c>
      <c r="N34" s="54">
        <v>4380</v>
      </c>
      <c r="O34" s="62">
        <v>0.73</v>
      </c>
      <c r="P34" s="54">
        <v>600</v>
      </c>
      <c r="Q34" s="62">
        <v>0.1</v>
      </c>
      <c r="R34" s="54">
        <v>0</v>
      </c>
      <c r="S34" s="62">
        <v>0</v>
      </c>
      <c r="T34" s="54">
        <v>1020</v>
      </c>
      <c r="U34" s="62">
        <v>0.17</v>
      </c>
      <c r="V34" s="62"/>
      <c r="W34" s="82">
        <v>44470</v>
      </c>
      <c r="X34" s="82">
        <v>44635</v>
      </c>
    </row>
    <row r="35" spans="1:24">
      <c r="A35" s="52" t="s">
        <v>85</v>
      </c>
      <c r="B35" s="52" t="s">
        <v>51</v>
      </c>
      <c r="C35" s="52" t="s">
        <v>52</v>
      </c>
      <c r="D35" s="52" t="s">
        <v>57</v>
      </c>
      <c r="E35" s="52">
        <v>1</v>
      </c>
      <c r="F35" s="53" t="s">
        <v>54</v>
      </c>
      <c r="G35" s="52">
        <v>3</v>
      </c>
      <c r="H35" s="54">
        <v>3000</v>
      </c>
      <c r="I35" s="54">
        <f t="shared" si="0"/>
        <v>9000</v>
      </c>
      <c r="J35" s="61">
        <v>0</v>
      </c>
      <c r="K35" s="64">
        <f t="shared" si="2"/>
        <v>2025</v>
      </c>
      <c r="L35" s="61">
        <f t="shared" si="1"/>
        <v>6975</v>
      </c>
      <c r="M35" s="52">
        <v>5</v>
      </c>
      <c r="N35" s="54">
        <v>6570</v>
      </c>
      <c r="O35" s="62">
        <v>0.73</v>
      </c>
      <c r="P35" s="54">
        <v>900</v>
      </c>
      <c r="Q35" s="62">
        <v>0.1</v>
      </c>
      <c r="R35" s="54">
        <v>0</v>
      </c>
      <c r="S35" s="62">
        <v>0</v>
      </c>
      <c r="T35" s="54">
        <v>1530</v>
      </c>
      <c r="U35" s="62">
        <v>0.17</v>
      </c>
      <c r="V35" s="62"/>
      <c r="W35" s="82">
        <v>44470</v>
      </c>
      <c r="X35" s="82">
        <v>44635</v>
      </c>
    </row>
    <row r="36" spans="1:24">
      <c r="A36" s="52" t="s">
        <v>86</v>
      </c>
      <c r="B36" s="52" t="s">
        <v>51</v>
      </c>
      <c r="C36" s="52" t="s">
        <v>52</v>
      </c>
      <c r="D36" s="52" t="s">
        <v>62</v>
      </c>
      <c r="E36" s="52">
        <v>2</v>
      </c>
      <c r="F36" s="53" t="s">
        <v>54</v>
      </c>
      <c r="G36" s="52">
        <v>2</v>
      </c>
      <c r="H36" s="54">
        <v>4500</v>
      </c>
      <c r="I36" s="54">
        <f t="shared" si="0"/>
        <v>9000</v>
      </c>
      <c r="J36" s="61">
        <v>0</v>
      </c>
      <c r="K36" s="64">
        <f>I36*(1-17%-4.5%*5)</f>
        <v>5445</v>
      </c>
      <c r="L36" s="61">
        <f t="shared" si="1"/>
        <v>3555</v>
      </c>
      <c r="M36" s="52">
        <v>10</v>
      </c>
      <c r="N36" s="54">
        <v>4050</v>
      </c>
      <c r="O36" s="62">
        <v>0.45</v>
      </c>
      <c r="P36" s="54">
        <v>900</v>
      </c>
      <c r="Q36" s="62">
        <v>0.1</v>
      </c>
      <c r="R36" s="54">
        <v>2520</v>
      </c>
      <c r="S36" s="62">
        <v>0.28</v>
      </c>
      <c r="T36" s="54">
        <v>1530</v>
      </c>
      <c r="U36" s="62">
        <v>0.17</v>
      </c>
      <c r="V36" s="62"/>
      <c r="W36" s="82">
        <v>44470</v>
      </c>
      <c r="X36" s="82">
        <v>44651</v>
      </c>
    </row>
    <row r="37" spans="1:24">
      <c r="A37" s="52" t="s">
        <v>86</v>
      </c>
      <c r="B37" s="52" t="s">
        <v>51</v>
      </c>
      <c r="C37" s="52" t="s">
        <v>67</v>
      </c>
      <c r="D37" s="52" t="s">
        <v>87</v>
      </c>
      <c r="E37" s="52">
        <v>30</v>
      </c>
      <c r="F37" s="53" t="s">
        <v>54</v>
      </c>
      <c r="G37" s="52">
        <v>3</v>
      </c>
      <c r="H37" s="54">
        <v>480</v>
      </c>
      <c r="I37" s="54">
        <f t="shared" si="0"/>
        <v>1440</v>
      </c>
      <c r="J37" s="61">
        <v>0</v>
      </c>
      <c r="K37" s="64">
        <f>I37*4.5%*5</f>
        <v>324</v>
      </c>
      <c r="L37" s="61">
        <f t="shared" si="1"/>
        <v>1116</v>
      </c>
      <c r="M37" s="52">
        <v>10</v>
      </c>
      <c r="N37" s="54">
        <v>1080</v>
      </c>
      <c r="O37" s="62">
        <v>0.45</v>
      </c>
      <c r="P37" s="54">
        <v>240</v>
      </c>
      <c r="Q37" s="62">
        <v>0.1</v>
      </c>
      <c r="R37" s="54">
        <v>672</v>
      </c>
      <c r="S37" s="62">
        <v>0.28</v>
      </c>
      <c r="T37" s="54">
        <v>408</v>
      </c>
      <c r="U37" s="62">
        <v>0.17</v>
      </c>
      <c r="V37" s="62"/>
      <c r="W37" s="82">
        <v>44470</v>
      </c>
      <c r="X37" s="82">
        <v>44651</v>
      </c>
    </row>
    <row r="38" spans="1:24">
      <c r="A38" s="52" t="s">
        <v>86</v>
      </c>
      <c r="B38" s="52" t="s">
        <v>51</v>
      </c>
      <c r="C38" s="52" t="s">
        <v>67</v>
      </c>
      <c r="D38" s="52" t="s">
        <v>87</v>
      </c>
      <c r="E38" s="52">
        <v>30</v>
      </c>
      <c r="F38" s="53" t="s">
        <v>54</v>
      </c>
      <c r="G38" s="52">
        <v>3</v>
      </c>
      <c r="H38" s="54">
        <v>480</v>
      </c>
      <c r="I38" s="54">
        <f t="shared" si="0"/>
        <v>1440</v>
      </c>
      <c r="J38" s="61">
        <v>0</v>
      </c>
      <c r="K38" s="64">
        <f>I38*4.5%*5</f>
        <v>324</v>
      </c>
      <c r="L38" s="61">
        <f t="shared" si="1"/>
        <v>1116</v>
      </c>
      <c r="M38" s="52">
        <v>10</v>
      </c>
      <c r="N38" s="54">
        <v>1080</v>
      </c>
      <c r="O38" s="62">
        <v>0.45</v>
      </c>
      <c r="P38" s="54">
        <v>240</v>
      </c>
      <c r="Q38" s="62">
        <v>0.1</v>
      </c>
      <c r="R38" s="54">
        <v>672</v>
      </c>
      <c r="S38" s="62">
        <v>0.28</v>
      </c>
      <c r="T38" s="54">
        <v>408</v>
      </c>
      <c r="U38" s="62">
        <v>0.17</v>
      </c>
      <c r="V38" s="62"/>
      <c r="W38" s="82">
        <v>44470</v>
      </c>
      <c r="X38" s="83">
        <v>44651</v>
      </c>
    </row>
    <row r="39" spans="1:24">
      <c r="A39" s="60" t="s">
        <v>86</v>
      </c>
      <c r="B39" s="60" t="s">
        <v>51</v>
      </c>
      <c r="C39" s="52" t="s">
        <v>63</v>
      </c>
      <c r="D39" s="52" t="s">
        <v>88</v>
      </c>
      <c r="E39" s="52">
        <v>2</v>
      </c>
      <c r="F39" s="53" t="s">
        <v>54</v>
      </c>
      <c r="G39" s="52">
        <v>2</v>
      </c>
      <c r="H39" s="54">
        <v>1250</v>
      </c>
      <c r="I39" s="54">
        <f t="shared" si="0"/>
        <v>2500</v>
      </c>
      <c r="J39" s="61">
        <v>0</v>
      </c>
      <c r="K39" s="64">
        <f>I39*4.5%*5</f>
        <v>562.5</v>
      </c>
      <c r="L39" s="61">
        <f t="shared" si="1"/>
        <v>1937.5</v>
      </c>
      <c r="M39" s="52">
        <v>10</v>
      </c>
      <c r="N39" s="54">
        <v>1125</v>
      </c>
      <c r="O39" s="62">
        <v>0.45</v>
      </c>
      <c r="P39" s="54">
        <v>250</v>
      </c>
      <c r="Q39" s="62">
        <v>0.1</v>
      </c>
      <c r="R39" s="54">
        <v>700</v>
      </c>
      <c r="S39" s="62">
        <v>0.28</v>
      </c>
      <c r="T39" s="54">
        <v>425</v>
      </c>
      <c r="U39" s="62">
        <v>0.17</v>
      </c>
      <c r="V39" s="62"/>
      <c r="W39" s="82">
        <v>44470</v>
      </c>
      <c r="X39" s="83">
        <v>44651</v>
      </c>
    </row>
    <row r="40" spans="1:24">
      <c r="A40" s="52" t="s">
        <v>89</v>
      </c>
      <c r="B40" s="52" t="s">
        <v>51</v>
      </c>
      <c r="C40" s="52" t="s">
        <v>52</v>
      </c>
      <c r="D40" s="52"/>
      <c r="E40" s="52">
        <v>2</v>
      </c>
      <c r="F40" s="53"/>
      <c r="G40" s="52">
        <v>2</v>
      </c>
      <c r="H40" s="54">
        <v>4500</v>
      </c>
      <c r="I40" s="54">
        <f t="shared" si="0"/>
        <v>9000</v>
      </c>
      <c r="J40" s="61">
        <v>0</v>
      </c>
      <c r="K40" s="64">
        <f>I40*(1-17%-4.5%*5)</f>
        <v>5445</v>
      </c>
      <c r="L40" s="61">
        <f t="shared" si="1"/>
        <v>3555</v>
      </c>
      <c r="M40" s="52"/>
      <c r="N40" s="54"/>
      <c r="O40" s="62"/>
      <c r="P40" s="54"/>
      <c r="Q40" s="62"/>
      <c r="R40" s="54"/>
      <c r="S40" s="62"/>
      <c r="T40" s="54"/>
      <c r="U40" s="62"/>
      <c r="V40" s="62"/>
      <c r="W40" s="82">
        <v>44470</v>
      </c>
      <c r="X40" s="83">
        <v>44651</v>
      </c>
    </row>
    <row r="41" spans="1:26">
      <c r="A41" s="49" t="s">
        <v>90</v>
      </c>
      <c r="B41" s="49" t="s">
        <v>51</v>
      </c>
      <c r="C41" s="49" t="s">
        <v>52</v>
      </c>
      <c r="D41" s="49"/>
      <c r="E41" s="49">
        <v>2</v>
      </c>
      <c r="F41" s="55"/>
      <c r="G41" s="49">
        <v>2</v>
      </c>
      <c r="H41" s="56">
        <v>4500</v>
      </c>
      <c r="I41" s="56">
        <f t="shared" si="0"/>
        <v>9000</v>
      </c>
      <c r="J41" s="63">
        <v>0</v>
      </c>
      <c r="K41" s="64">
        <f>I41*(1-28%-4.5%*6)</f>
        <v>4050</v>
      </c>
      <c r="L41" s="63">
        <f t="shared" si="1"/>
        <v>4950</v>
      </c>
      <c r="M41" s="66"/>
      <c r="N41" s="67"/>
      <c r="O41" s="68"/>
      <c r="P41" s="67"/>
      <c r="Q41" s="68"/>
      <c r="R41" s="67"/>
      <c r="S41" s="68"/>
      <c r="T41" s="67"/>
      <c r="U41" s="68"/>
      <c r="V41" s="68"/>
      <c r="W41" s="84">
        <v>44287</v>
      </c>
      <c r="X41" s="85">
        <v>44561</v>
      </c>
      <c r="Y41" s="48" t="s">
        <v>91</v>
      </c>
      <c r="Z41" s="48" t="s">
        <v>92</v>
      </c>
    </row>
    <row r="42" spans="1:24">
      <c r="A42" s="49" t="s">
        <v>93</v>
      </c>
      <c r="B42" s="49" t="s">
        <v>51</v>
      </c>
      <c r="C42" s="49" t="s">
        <v>94</v>
      </c>
      <c r="D42" s="49"/>
      <c r="E42" s="49">
        <v>1</v>
      </c>
      <c r="F42" s="55"/>
      <c r="G42" s="49">
        <v>18</v>
      </c>
      <c r="H42" s="56">
        <v>450</v>
      </c>
      <c r="I42" s="56">
        <f t="shared" si="0"/>
        <v>8100</v>
      </c>
      <c r="J42" s="63">
        <v>0</v>
      </c>
      <c r="K42" s="63"/>
      <c r="L42" s="63">
        <f t="shared" si="1"/>
        <v>8100</v>
      </c>
      <c r="M42" s="49"/>
      <c r="N42" s="56"/>
      <c r="O42" s="65"/>
      <c r="P42" s="56"/>
      <c r="Q42" s="65"/>
      <c r="R42" s="56"/>
      <c r="S42" s="65"/>
      <c r="T42" s="56"/>
      <c r="U42" s="65"/>
      <c r="V42" s="65"/>
      <c r="W42" s="84">
        <v>44287</v>
      </c>
      <c r="X42" s="85"/>
    </row>
    <row r="43" spans="12:12">
      <c r="L43" s="73">
        <f>SUM(L2:L42)</f>
        <v>171968.25</v>
      </c>
    </row>
  </sheetData>
  <protectedRanges>
    <protectedRange sqref="F2:F39 H2:I39 L2:L39 N2:N39 P2:P39 R2:R39 T2:T39" name="区域1"/>
    <protectedRange sqref="F1 H1:I1 L1 N1 P1 R1 T1" name="区域1_1"/>
  </protectedRanges>
  <autoFilter ref="A1:AB43">
    <extLst/>
  </autoFilter>
  <dataValidations count="1">
    <dataValidation type="list" showInputMessage="1" showErrorMessage="1" sqref="F4 F5 F6 F33 F40 F41 F42 F2:F3 F7:F19 F20:F32 F34:F39">
      <formula1>规格单位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13" workbookViewId="0">
      <selection activeCell="K32" sqref="K32"/>
    </sheetView>
  </sheetViews>
  <sheetFormatPr defaultColWidth="37.6333333333333" defaultRowHeight="13.5"/>
  <cols>
    <col min="1" max="1" width="20.8166666666667" style="35" customWidth="1"/>
    <col min="2" max="2" width="11.8166666666667" style="35" customWidth="1"/>
    <col min="3" max="3" width="14.6333333333333" style="35" hidden="1" customWidth="1"/>
    <col min="4" max="4" width="9.54166666666667" style="35" hidden="1" customWidth="1"/>
    <col min="5" max="5" width="14.6333333333333" style="35" hidden="1" customWidth="1"/>
    <col min="6" max="6" width="8.54166666666667" style="35" hidden="1" customWidth="1"/>
    <col min="7" max="7" width="14.6333333333333" style="35" hidden="1" customWidth="1"/>
    <col min="8" max="8" width="15.3666666666667" style="35" hidden="1" customWidth="1"/>
    <col min="9" max="9" width="45.6" style="35" customWidth="1"/>
    <col min="10" max="10" width="13.1416666666667" style="35" customWidth="1"/>
    <col min="11" max="16384" width="37.6333333333333" style="35" customWidth="1"/>
  </cols>
  <sheetData>
    <row r="1" spans="1:10">
      <c r="A1" s="36" t="s">
        <v>28</v>
      </c>
      <c r="B1" s="36" t="s">
        <v>95</v>
      </c>
      <c r="C1" s="37" t="s">
        <v>96</v>
      </c>
      <c r="D1" s="36" t="s">
        <v>97</v>
      </c>
      <c r="E1" s="37" t="s">
        <v>98</v>
      </c>
      <c r="F1" s="36" t="s">
        <v>97</v>
      </c>
      <c r="G1" s="37" t="s">
        <v>99</v>
      </c>
      <c r="H1" s="36" t="s">
        <v>97</v>
      </c>
      <c r="I1" s="36" t="s">
        <v>3</v>
      </c>
      <c r="J1" s="36" t="s">
        <v>100</v>
      </c>
    </row>
    <row r="2" spans="1:10">
      <c r="A2" s="38" t="s">
        <v>101</v>
      </c>
      <c r="B2" s="38">
        <v>1035.76</v>
      </c>
      <c r="C2" s="38">
        <v>1035.76</v>
      </c>
      <c r="D2" s="38">
        <f>B2-C2</f>
        <v>0</v>
      </c>
      <c r="E2" s="38">
        <v>0</v>
      </c>
      <c r="F2" s="38">
        <f>D2-E2</f>
        <v>0</v>
      </c>
      <c r="G2" s="38"/>
      <c r="H2" s="38"/>
      <c r="I2" s="38" t="s">
        <v>102</v>
      </c>
      <c r="J2" s="38"/>
    </row>
    <row r="3" spans="1:10">
      <c r="A3" s="38" t="s">
        <v>103</v>
      </c>
      <c r="B3" s="38">
        <v>1075.76</v>
      </c>
      <c r="C3" s="38">
        <v>1075.76</v>
      </c>
      <c r="D3" s="38">
        <f t="shared" ref="D3:D12" si="0">B3-C3</f>
        <v>0</v>
      </c>
      <c r="E3" s="38">
        <v>0</v>
      </c>
      <c r="F3" s="38">
        <f t="shared" ref="F3:F38" si="1">D3-E3</f>
        <v>0</v>
      </c>
      <c r="G3" s="38"/>
      <c r="H3" s="38"/>
      <c r="I3" s="38" t="s">
        <v>102</v>
      </c>
      <c r="J3" s="38"/>
    </row>
    <row r="4" spans="1:10">
      <c r="A4" s="38" t="s">
        <v>104</v>
      </c>
      <c r="B4" s="38">
        <v>1738.52</v>
      </c>
      <c r="C4" s="38">
        <v>1738.52</v>
      </c>
      <c r="D4" s="38">
        <f t="shared" si="0"/>
        <v>0</v>
      </c>
      <c r="E4" s="38">
        <v>0</v>
      </c>
      <c r="F4" s="38">
        <f t="shared" si="1"/>
        <v>0</v>
      </c>
      <c r="G4" s="38"/>
      <c r="H4" s="38"/>
      <c r="I4" s="38" t="s">
        <v>102</v>
      </c>
      <c r="J4" s="38"/>
    </row>
    <row r="5" spans="1:10">
      <c r="A5" s="38" t="s">
        <v>56</v>
      </c>
      <c r="B5" s="39">
        <v>3679.91</v>
      </c>
      <c r="C5" s="38">
        <v>3679.91</v>
      </c>
      <c r="D5" s="38">
        <f t="shared" si="0"/>
        <v>0</v>
      </c>
      <c r="E5" s="38">
        <v>0</v>
      </c>
      <c r="F5" s="38">
        <f t="shared" si="1"/>
        <v>0</v>
      </c>
      <c r="G5" s="38"/>
      <c r="H5" s="38"/>
      <c r="I5" s="38" t="s">
        <v>102</v>
      </c>
      <c r="J5" s="38"/>
    </row>
    <row r="6" spans="1:10">
      <c r="A6" s="38" t="s">
        <v>105</v>
      </c>
      <c r="B6" s="39">
        <v>5558.8</v>
      </c>
      <c r="C6" s="38">
        <v>5558.8</v>
      </c>
      <c r="D6" s="38">
        <f t="shared" si="0"/>
        <v>0</v>
      </c>
      <c r="E6" s="38">
        <v>0</v>
      </c>
      <c r="F6" s="38">
        <f t="shared" si="1"/>
        <v>0</v>
      </c>
      <c r="G6" s="38"/>
      <c r="H6" s="40"/>
      <c r="I6" s="38" t="s">
        <v>102</v>
      </c>
      <c r="J6" s="38"/>
    </row>
    <row r="7" spans="1:10">
      <c r="A7" s="38" t="s">
        <v>106</v>
      </c>
      <c r="B7" s="39">
        <v>612.88</v>
      </c>
      <c r="C7" s="38">
        <v>612.88</v>
      </c>
      <c r="D7" s="38">
        <f t="shared" si="0"/>
        <v>0</v>
      </c>
      <c r="E7" s="38">
        <v>0</v>
      </c>
      <c r="F7" s="38">
        <f t="shared" si="1"/>
        <v>0</v>
      </c>
      <c r="G7" s="38"/>
      <c r="H7" s="38"/>
      <c r="I7" s="38" t="s">
        <v>102</v>
      </c>
      <c r="J7" s="38"/>
    </row>
    <row r="8" spans="1:10">
      <c r="A8" s="38" t="s">
        <v>59</v>
      </c>
      <c r="B8" s="39">
        <v>3457.78</v>
      </c>
      <c r="C8" s="38">
        <v>3457.78</v>
      </c>
      <c r="D8" s="38">
        <f t="shared" si="0"/>
        <v>0</v>
      </c>
      <c r="E8" s="38">
        <v>0</v>
      </c>
      <c r="F8" s="38">
        <f t="shared" si="1"/>
        <v>0</v>
      </c>
      <c r="G8" s="38"/>
      <c r="H8" s="38"/>
      <c r="I8" s="38" t="s">
        <v>102</v>
      </c>
      <c r="J8" s="38"/>
    </row>
    <row r="9" spans="1:10">
      <c r="A9" s="38" t="s">
        <v>106</v>
      </c>
      <c r="B9" s="39">
        <v>662.88</v>
      </c>
      <c r="C9" s="38">
        <v>662.88</v>
      </c>
      <c r="D9" s="38">
        <f t="shared" si="0"/>
        <v>0</v>
      </c>
      <c r="E9" s="38">
        <v>0</v>
      </c>
      <c r="F9" s="38">
        <f t="shared" si="1"/>
        <v>0</v>
      </c>
      <c r="G9" s="38"/>
      <c r="H9" s="38"/>
      <c r="I9" s="38" t="s">
        <v>102</v>
      </c>
      <c r="J9" s="38"/>
    </row>
    <row r="10" spans="1:10">
      <c r="A10" s="38" t="s">
        <v>83</v>
      </c>
      <c r="B10" s="39">
        <v>6465.56</v>
      </c>
      <c r="C10" s="38">
        <v>6465.56</v>
      </c>
      <c r="D10" s="38">
        <f t="shared" si="0"/>
        <v>0</v>
      </c>
      <c r="E10" s="38">
        <v>0</v>
      </c>
      <c r="F10" s="38">
        <f t="shared" si="1"/>
        <v>0</v>
      </c>
      <c r="G10" s="38"/>
      <c r="H10" s="38"/>
      <c r="I10" s="38" t="s">
        <v>102</v>
      </c>
      <c r="J10" s="38"/>
    </row>
    <row r="11" spans="1:10">
      <c r="A11" s="38" t="s">
        <v>107</v>
      </c>
      <c r="B11" s="39">
        <v>2085.65</v>
      </c>
      <c r="C11" s="38">
        <v>2085.65</v>
      </c>
      <c r="D11" s="38">
        <f t="shared" si="0"/>
        <v>0</v>
      </c>
      <c r="E11" s="38">
        <v>0</v>
      </c>
      <c r="F11" s="38">
        <f t="shared" si="1"/>
        <v>0</v>
      </c>
      <c r="G11" s="38"/>
      <c r="H11" s="38"/>
      <c r="I11" s="38" t="s">
        <v>102</v>
      </c>
      <c r="J11" s="38"/>
    </row>
    <row r="12" spans="1:10">
      <c r="A12" s="38" t="s">
        <v>108</v>
      </c>
      <c r="B12" s="38">
        <v>33679</v>
      </c>
      <c r="C12" s="38">
        <v>30311</v>
      </c>
      <c r="D12" s="38">
        <f t="shared" ref="D12:D38" si="2">B12-C12</f>
        <v>3368</v>
      </c>
      <c r="E12" s="38">
        <v>0</v>
      </c>
      <c r="F12" s="38">
        <f t="shared" si="1"/>
        <v>3368</v>
      </c>
      <c r="G12" s="38"/>
      <c r="H12" s="38"/>
      <c r="I12" s="44" t="s">
        <v>109</v>
      </c>
      <c r="J12" s="38"/>
    </row>
    <row r="13" spans="1:10">
      <c r="A13" s="38" t="s">
        <v>58</v>
      </c>
      <c r="B13" s="39">
        <v>9845.47</v>
      </c>
      <c r="C13" s="38">
        <v>8860</v>
      </c>
      <c r="D13" s="38">
        <f t="shared" si="2"/>
        <v>985.469999999999</v>
      </c>
      <c r="E13" s="38">
        <v>0</v>
      </c>
      <c r="F13" s="38">
        <f t="shared" si="1"/>
        <v>985.469999999999</v>
      </c>
      <c r="G13" s="38"/>
      <c r="H13" s="38"/>
      <c r="I13" s="44" t="s">
        <v>109</v>
      </c>
      <c r="J13" s="38"/>
    </row>
    <row r="14" spans="1:10">
      <c r="A14" s="38" t="s">
        <v>110</v>
      </c>
      <c r="B14" s="38">
        <v>25914.08</v>
      </c>
      <c r="C14" s="38">
        <v>0</v>
      </c>
      <c r="D14" s="38">
        <f t="shared" si="2"/>
        <v>25914.08</v>
      </c>
      <c r="E14" s="38">
        <v>25914.08</v>
      </c>
      <c r="F14" s="38">
        <f t="shared" si="1"/>
        <v>0</v>
      </c>
      <c r="G14" s="38"/>
      <c r="H14" s="38"/>
      <c r="I14" s="38" t="s">
        <v>111</v>
      </c>
      <c r="J14" s="38"/>
    </row>
    <row r="15" spans="1:10">
      <c r="A15" s="38" t="s">
        <v>78</v>
      </c>
      <c r="B15" s="39">
        <v>612.88</v>
      </c>
      <c r="C15" s="38">
        <v>0</v>
      </c>
      <c r="D15" s="38">
        <f t="shared" si="2"/>
        <v>612.88</v>
      </c>
      <c r="E15" s="38">
        <v>612.88</v>
      </c>
      <c r="F15" s="38">
        <f t="shared" si="1"/>
        <v>0</v>
      </c>
      <c r="G15" s="38"/>
      <c r="H15" s="38"/>
      <c r="I15" s="38" t="s">
        <v>111</v>
      </c>
      <c r="J15" s="38"/>
    </row>
    <row r="16" spans="1:10">
      <c r="A16" s="38" t="s">
        <v>80</v>
      </c>
      <c r="B16" s="39">
        <v>952.88</v>
      </c>
      <c r="C16" s="38">
        <v>0</v>
      </c>
      <c r="D16" s="38">
        <f t="shared" si="2"/>
        <v>952.88</v>
      </c>
      <c r="E16" s="38">
        <v>952.88</v>
      </c>
      <c r="F16" s="38">
        <f t="shared" si="1"/>
        <v>0</v>
      </c>
      <c r="G16" s="38"/>
      <c r="H16" s="38"/>
      <c r="I16" s="38" t="s">
        <v>111</v>
      </c>
      <c r="J16" s="38"/>
    </row>
    <row r="17" spans="1:10">
      <c r="A17" s="38" t="s">
        <v>50</v>
      </c>
      <c r="B17" s="39">
        <v>3679.91</v>
      </c>
      <c r="C17" s="38">
        <v>0</v>
      </c>
      <c r="D17" s="38">
        <f t="shared" si="2"/>
        <v>3679.91</v>
      </c>
      <c r="E17" s="38">
        <v>3679.91</v>
      </c>
      <c r="F17" s="38">
        <f t="shared" si="1"/>
        <v>0</v>
      </c>
      <c r="G17" s="38"/>
      <c r="H17" s="38"/>
      <c r="I17" s="38" t="s">
        <v>111</v>
      </c>
      <c r="J17" s="38"/>
    </row>
    <row r="18" spans="1:10">
      <c r="A18" s="38" t="s">
        <v>112</v>
      </c>
      <c r="B18" s="39">
        <v>3082.78</v>
      </c>
      <c r="C18" s="38">
        <v>0</v>
      </c>
      <c r="D18" s="38">
        <f t="shared" si="2"/>
        <v>3082.78</v>
      </c>
      <c r="E18" s="38">
        <v>3082.78</v>
      </c>
      <c r="F18" s="38">
        <f t="shared" si="1"/>
        <v>0</v>
      </c>
      <c r="G18" s="38"/>
      <c r="H18" s="38"/>
      <c r="I18" s="38" t="s">
        <v>111</v>
      </c>
      <c r="J18" s="38"/>
    </row>
    <row r="19" spans="1:10">
      <c r="A19" s="38" t="s">
        <v>56</v>
      </c>
      <c r="B19" s="39">
        <v>4077.04</v>
      </c>
      <c r="C19" s="38">
        <v>0</v>
      </c>
      <c r="D19" s="38">
        <f t="shared" si="2"/>
        <v>4077.04</v>
      </c>
      <c r="E19" s="38">
        <v>4077.04</v>
      </c>
      <c r="F19" s="38">
        <f t="shared" si="1"/>
        <v>0</v>
      </c>
      <c r="G19" s="38"/>
      <c r="H19" s="38"/>
      <c r="I19" s="38" t="s">
        <v>111</v>
      </c>
      <c r="J19" s="38"/>
    </row>
    <row r="20" spans="1:10">
      <c r="A20" s="38" t="s">
        <v>70</v>
      </c>
      <c r="B20" s="39">
        <v>1344.26</v>
      </c>
      <c r="C20" s="38">
        <v>0</v>
      </c>
      <c r="D20" s="38">
        <f t="shared" si="2"/>
        <v>1344.26</v>
      </c>
      <c r="E20" s="38">
        <v>1344.26</v>
      </c>
      <c r="F20" s="38">
        <f t="shared" si="1"/>
        <v>0</v>
      </c>
      <c r="G20" s="38"/>
      <c r="H20" s="38"/>
      <c r="I20" s="38" t="s">
        <v>111</v>
      </c>
      <c r="J20" s="38"/>
    </row>
    <row r="21" spans="1:10">
      <c r="A21" s="38" t="s">
        <v>113</v>
      </c>
      <c r="B21" s="38">
        <v>5260.92</v>
      </c>
      <c r="C21" s="38">
        <v>0</v>
      </c>
      <c r="D21" s="38">
        <f t="shared" si="2"/>
        <v>5260.92</v>
      </c>
      <c r="E21" s="38">
        <v>5260.92</v>
      </c>
      <c r="F21" s="38">
        <f t="shared" si="1"/>
        <v>0</v>
      </c>
      <c r="G21" s="38"/>
      <c r="H21" s="38"/>
      <c r="I21" s="38" t="s">
        <v>111</v>
      </c>
      <c r="J21" s="38"/>
    </row>
    <row r="22" spans="1:10">
      <c r="A22" s="38" t="s">
        <v>106</v>
      </c>
      <c r="B22" s="39">
        <v>662.88</v>
      </c>
      <c r="C22" s="38">
        <v>0</v>
      </c>
      <c r="D22" s="38">
        <f t="shared" si="2"/>
        <v>662.88</v>
      </c>
      <c r="E22" s="38">
        <v>662.88</v>
      </c>
      <c r="F22" s="38">
        <f t="shared" si="1"/>
        <v>0</v>
      </c>
      <c r="G22" s="38"/>
      <c r="H22" s="38"/>
      <c r="I22" s="38" t="s">
        <v>111</v>
      </c>
      <c r="J22" s="38"/>
    </row>
    <row r="23" spans="1:10">
      <c r="A23" s="38" t="s">
        <v>82</v>
      </c>
      <c r="B23" s="39">
        <v>14122.51</v>
      </c>
      <c r="C23" s="38">
        <v>0</v>
      </c>
      <c r="D23" s="38">
        <f t="shared" si="2"/>
        <v>14122.51</v>
      </c>
      <c r="E23" s="38">
        <v>14122.51</v>
      </c>
      <c r="F23" s="38">
        <f t="shared" si="1"/>
        <v>0</v>
      </c>
      <c r="G23" s="38"/>
      <c r="H23" s="38"/>
      <c r="I23" s="38" t="s">
        <v>111</v>
      </c>
      <c r="J23" s="38"/>
    </row>
    <row r="24" spans="1:10">
      <c r="A24" s="38" t="s">
        <v>106</v>
      </c>
      <c r="B24" s="39">
        <v>662.88</v>
      </c>
      <c r="C24" s="38">
        <v>0</v>
      </c>
      <c r="D24" s="38">
        <f t="shared" si="2"/>
        <v>662.88</v>
      </c>
      <c r="E24" s="38">
        <v>662.88</v>
      </c>
      <c r="F24" s="38">
        <f t="shared" si="1"/>
        <v>0</v>
      </c>
      <c r="G24" s="38"/>
      <c r="H24" s="38"/>
      <c r="I24" s="38" t="s">
        <v>111</v>
      </c>
      <c r="J24" s="38"/>
    </row>
    <row r="25" spans="1:10">
      <c r="A25" s="38" t="s">
        <v>72</v>
      </c>
      <c r="B25" s="39">
        <v>3579.91</v>
      </c>
      <c r="C25" s="38">
        <v>0</v>
      </c>
      <c r="D25" s="38">
        <f t="shared" si="2"/>
        <v>3579.91</v>
      </c>
      <c r="E25" s="38">
        <v>3579.91</v>
      </c>
      <c r="F25" s="38">
        <f t="shared" si="1"/>
        <v>0</v>
      </c>
      <c r="G25" s="38"/>
      <c r="H25" s="38"/>
      <c r="I25" s="38" t="s">
        <v>111</v>
      </c>
      <c r="J25" s="38"/>
    </row>
    <row r="26" spans="1:10">
      <c r="A26" s="38" t="s">
        <v>105</v>
      </c>
      <c r="B26" s="39">
        <v>1151.76</v>
      </c>
      <c r="C26" s="38">
        <v>0</v>
      </c>
      <c r="D26" s="38">
        <f t="shared" si="2"/>
        <v>1151.76</v>
      </c>
      <c r="E26" s="38">
        <v>1151.76</v>
      </c>
      <c r="F26" s="38">
        <f t="shared" si="1"/>
        <v>0</v>
      </c>
      <c r="G26" s="38"/>
      <c r="H26" s="38"/>
      <c r="I26" s="38" t="s">
        <v>111</v>
      </c>
      <c r="J26" s="38"/>
    </row>
    <row r="27" spans="1:10">
      <c r="A27" s="38" t="s">
        <v>114</v>
      </c>
      <c r="B27" s="39">
        <v>7159.82</v>
      </c>
      <c r="C27" s="38">
        <v>0</v>
      </c>
      <c r="D27" s="38">
        <f t="shared" si="2"/>
        <v>7159.82</v>
      </c>
      <c r="E27" s="38">
        <v>7159.82</v>
      </c>
      <c r="F27" s="38">
        <f t="shared" si="1"/>
        <v>0</v>
      </c>
      <c r="G27" s="38"/>
      <c r="H27" s="38"/>
      <c r="I27" s="38" t="s">
        <v>111</v>
      </c>
      <c r="J27" s="38"/>
    </row>
    <row r="28" ht="54" spans="1:10">
      <c r="A28" s="41" t="s">
        <v>89</v>
      </c>
      <c r="B28" s="42">
        <v>0</v>
      </c>
      <c r="C28" s="41">
        <v>0</v>
      </c>
      <c r="D28" s="41">
        <f t="shared" si="2"/>
        <v>0</v>
      </c>
      <c r="E28" s="41">
        <v>5458.8</v>
      </c>
      <c r="F28" s="41">
        <f t="shared" si="1"/>
        <v>-5458.8</v>
      </c>
      <c r="G28" s="41"/>
      <c r="H28" s="41"/>
      <c r="I28" s="41" t="s">
        <v>111</v>
      </c>
      <c r="J28" s="45" t="s">
        <v>115</v>
      </c>
    </row>
    <row r="29" spans="1:10">
      <c r="A29" s="38" t="s">
        <v>89</v>
      </c>
      <c r="B29" s="39">
        <v>0</v>
      </c>
      <c r="C29" s="38">
        <v>0</v>
      </c>
      <c r="D29" s="38">
        <f t="shared" si="2"/>
        <v>0</v>
      </c>
      <c r="E29" s="38">
        <v>0</v>
      </c>
      <c r="F29" s="38">
        <f t="shared" si="1"/>
        <v>0</v>
      </c>
      <c r="G29" s="38"/>
      <c r="H29" s="38"/>
      <c r="I29" s="38" t="s">
        <v>116</v>
      </c>
      <c r="J29" s="38"/>
    </row>
    <row r="30" spans="1:10">
      <c r="A30" s="38" t="s">
        <v>117</v>
      </c>
      <c r="B30" s="39">
        <v>1091.39</v>
      </c>
      <c r="C30" s="38">
        <v>0</v>
      </c>
      <c r="D30" s="38">
        <f t="shared" si="2"/>
        <v>1091.39</v>
      </c>
      <c r="E30" s="38">
        <v>1091.39</v>
      </c>
      <c r="F30" s="38">
        <f t="shared" si="1"/>
        <v>0</v>
      </c>
      <c r="G30" s="38"/>
      <c r="H30" s="38"/>
      <c r="I30" s="38" t="s">
        <v>111</v>
      </c>
      <c r="J30" s="38"/>
    </row>
    <row r="31" spans="1:10">
      <c r="A31" s="41" t="s">
        <v>72</v>
      </c>
      <c r="B31" s="42">
        <v>10042.6</v>
      </c>
      <c r="C31" s="41">
        <v>0</v>
      </c>
      <c r="D31" s="41">
        <f t="shared" si="2"/>
        <v>10042.6</v>
      </c>
      <c r="E31" s="41">
        <v>0</v>
      </c>
      <c r="F31" s="41">
        <f t="shared" si="1"/>
        <v>10042.6</v>
      </c>
      <c r="G31" s="41"/>
      <c r="H31" s="41"/>
      <c r="I31" s="41" t="s">
        <v>118</v>
      </c>
      <c r="J31" s="38"/>
    </row>
    <row r="32" spans="1:10">
      <c r="A32" s="38" t="s">
        <v>119</v>
      </c>
      <c r="B32" s="39">
        <v>600</v>
      </c>
      <c r="C32" s="38">
        <v>0</v>
      </c>
      <c r="D32" s="38">
        <f t="shared" si="2"/>
        <v>600</v>
      </c>
      <c r="E32" s="38">
        <v>600</v>
      </c>
      <c r="F32" s="38">
        <f t="shared" si="1"/>
        <v>0</v>
      </c>
      <c r="G32" s="38"/>
      <c r="H32" s="38"/>
      <c r="I32" s="38" t="s">
        <v>111</v>
      </c>
      <c r="J32" s="38"/>
    </row>
    <row r="33" spans="1:10">
      <c r="A33" s="38" t="s">
        <v>120</v>
      </c>
      <c r="B33" s="39">
        <v>500</v>
      </c>
      <c r="C33" s="38">
        <v>0</v>
      </c>
      <c r="D33" s="38">
        <f t="shared" si="2"/>
        <v>500</v>
      </c>
      <c r="E33" s="38">
        <v>500</v>
      </c>
      <c r="F33" s="38">
        <f t="shared" si="1"/>
        <v>0</v>
      </c>
      <c r="G33" s="38"/>
      <c r="H33" s="38"/>
      <c r="I33" s="38" t="s">
        <v>111</v>
      </c>
      <c r="J33" s="38"/>
    </row>
    <row r="34" spans="1:10">
      <c r="A34" s="41" t="s">
        <v>121</v>
      </c>
      <c r="B34" s="42">
        <v>6000</v>
      </c>
      <c r="C34" s="41">
        <v>0</v>
      </c>
      <c r="D34" s="41">
        <f t="shared" si="2"/>
        <v>6000</v>
      </c>
      <c r="E34" s="41">
        <v>6000</v>
      </c>
      <c r="F34" s="41">
        <f t="shared" si="1"/>
        <v>0</v>
      </c>
      <c r="G34" s="41"/>
      <c r="H34" s="41"/>
      <c r="I34" s="41" t="s">
        <v>122</v>
      </c>
      <c r="J34" s="38"/>
    </row>
    <row r="35" spans="1:10">
      <c r="A35" s="38" t="s">
        <v>123</v>
      </c>
      <c r="B35" s="39">
        <v>1372.4</v>
      </c>
      <c r="C35" s="38">
        <v>0</v>
      </c>
      <c r="D35" s="38">
        <f t="shared" si="2"/>
        <v>1372.4</v>
      </c>
      <c r="E35" s="38">
        <v>1372.4</v>
      </c>
      <c r="F35" s="38">
        <f t="shared" si="1"/>
        <v>0</v>
      </c>
      <c r="G35" s="38"/>
      <c r="H35" s="38"/>
      <c r="I35" s="38" t="s">
        <v>124</v>
      </c>
      <c r="J35" s="38"/>
    </row>
    <row r="36" spans="1:10">
      <c r="A36" s="38" t="s">
        <v>125</v>
      </c>
      <c r="B36" s="38">
        <v>497.13</v>
      </c>
      <c r="C36" s="38">
        <v>0</v>
      </c>
      <c r="D36" s="38">
        <f t="shared" si="2"/>
        <v>497.13</v>
      </c>
      <c r="E36" s="38">
        <v>497.13</v>
      </c>
      <c r="F36" s="38">
        <f t="shared" si="1"/>
        <v>0</v>
      </c>
      <c r="G36" s="38"/>
      <c r="H36" s="38"/>
      <c r="I36" s="38" t="s">
        <v>111</v>
      </c>
      <c r="J36" s="38"/>
    </row>
    <row r="37" spans="1:10">
      <c r="A37" s="38" t="s">
        <v>126</v>
      </c>
      <c r="B37" s="38">
        <v>2999.72</v>
      </c>
      <c r="C37" s="38">
        <v>0</v>
      </c>
      <c r="D37" s="38">
        <f t="shared" si="2"/>
        <v>2999.72</v>
      </c>
      <c r="E37" s="38">
        <v>2999.72</v>
      </c>
      <c r="F37" s="38">
        <f t="shared" si="1"/>
        <v>0</v>
      </c>
      <c r="G37" s="38"/>
      <c r="H37" s="38"/>
      <c r="I37" s="38" t="s">
        <v>127</v>
      </c>
      <c r="J37" s="38"/>
    </row>
    <row r="38" spans="1:10">
      <c r="A38" s="38" t="s">
        <v>106</v>
      </c>
      <c r="B38" s="38">
        <v>1025.76</v>
      </c>
      <c r="C38" s="38">
        <v>0</v>
      </c>
      <c r="D38" s="38">
        <f t="shared" si="2"/>
        <v>1025.76</v>
      </c>
      <c r="E38" s="38">
        <v>1025.76</v>
      </c>
      <c r="F38" s="38">
        <f t="shared" si="1"/>
        <v>0</v>
      </c>
      <c r="G38" s="38"/>
      <c r="H38" s="38"/>
      <c r="I38" s="38" t="s">
        <v>127</v>
      </c>
      <c r="J38" s="38"/>
    </row>
    <row r="39" spans="1:10">
      <c r="A39" s="38" t="s">
        <v>128</v>
      </c>
      <c r="B39" s="38">
        <v>8254.08</v>
      </c>
      <c r="C39" s="38"/>
      <c r="D39" s="38"/>
      <c r="E39" s="38"/>
      <c r="F39" s="38"/>
      <c r="G39" s="38"/>
      <c r="H39" s="38"/>
      <c r="I39" s="38"/>
      <c r="J39" s="38"/>
    </row>
    <row r="40" spans="1:10">
      <c r="A40" s="38" t="s">
        <v>110</v>
      </c>
      <c r="B40" s="38">
        <v>150000</v>
      </c>
      <c r="C40" s="38"/>
      <c r="D40" s="38"/>
      <c r="E40" s="38"/>
      <c r="F40" s="38"/>
      <c r="G40" s="38"/>
      <c r="H40" s="38"/>
      <c r="I40" s="38"/>
      <c r="J40" s="38"/>
    </row>
    <row r="41" spans="1:10">
      <c r="A41" s="38" t="s">
        <v>129</v>
      </c>
      <c r="B41" s="43">
        <f>SUM(B2:B40)</f>
        <v>324545.56</v>
      </c>
      <c r="C41" s="38"/>
      <c r="D41" s="38"/>
      <c r="E41" s="38"/>
      <c r="F41" s="43">
        <f>SUM(F2:F38)</f>
        <v>8937.27</v>
      </c>
      <c r="G41" s="38"/>
      <c r="H41" s="38"/>
      <c r="I41" s="38"/>
      <c r="J41" s="38"/>
    </row>
  </sheetData>
  <dataValidations count="1">
    <dataValidation type="list" showInputMessage="1" showErrorMessage="1" sqref="A13 A5:A11 A15:A20 A22:A35">
      <formula1>项目名称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5" sqref="J15"/>
    </sheetView>
  </sheetViews>
  <sheetFormatPr defaultColWidth="8.725" defaultRowHeight="13.5" outlineLevelRow="5"/>
  <cols>
    <col min="1" max="1" width="7.54166666666667" customWidth="1"/>
    <col min="2" max="11" width="8.54166666666667" customWidth="1"/>
    <col min="12" max="12" width="11.5416666666667" customWidth="1"/>
  </cols>
  <sheetData>
    <row r="1" ht="20" customHeight="1" spans="1:12">
      <c r="A1" s="33" t="s">
        <v>130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ht="20" customHeight="1" spans="1:12">
      <c r="A2" s="33" t="s">
        <v>131</v>
      </c>
      <c r="B2" s="33">
        <v>6</v>
      </c>
      <c r="C2" s="33">
        <v>7</v>
      </c>
      <c r="D2" s="33">
        <v>8</v>
      </c>
      <c r="E2" s="33">
        <v>9</v>
      </c>
      <c r="F2" s="33">
        <v>10</v>
      </c>
      <c r="G2" s="33">
        <v>11</v>
      </c>
      <c r="H2" s="33">
        <v>12</v>
      </c>
      <c r="I2" s="33">
        <v>1</v>
      </c>
      <c r="J2" s="33">
        <v>2</v>
      </c>
      <c r="K2" s="33">
        <v>3</v>
      </c>
      <c r="L2" s="33" t="s">
        <v>9</v>
      </c>
    </row>
    <row r="3" ht="20" customHeight="1" spans="1:12">
      <c r="A3" s="33" t="s">
        <v>27</v>
      </c>
      <c r="B3" s="33">
        <f>7000+1431.12</f>
        <v>8431.12</v>
      </c>
      <c r="C3" s="33">
        <f t="shared" ref="C3:K3" si="0">7000+1431.12</f>
        <v>8431.12</v>
      </c>
      <c r="D3" s="33">
        <f t="shared" si="0"/>
        <v>8431.12</v>
      </c>
      <c r="E3" s="33">
        <f t="shared" si="0"/>
        <v>8431.12</v>
      </c>
      <c r="F3" s="33">
        <f t="shared" si="0"/>
        <v>8431.12</v>
      </c>
      <c r="G3" s="33">
        <f t="shared" si="0"/>
        <v>8431.12</v>
      </c>
      <c r="H3" s="33">
        <f t="shared" si="0"/>
        <v>8431.12</v>
      </c>
      <c r="I3" s="33">
        <f t="shared" si="0"/>
        <v>8431.12</v>
      </c>
      <c r="J3" s="33">
        <f t="shared" si="0"/>
        <v>8431.12</v>
      </c>
      <c r="K3" s="33">
        <f t="shared" si="0"/>
        <v>8431.12</v>
      </c>
      <c r="L3" s="33">
        <f t="shared" ref="L3:L5" si="1">SUM(B3:K3)</f>
        <v>84311.2</v>
      </c>
    </row>
    <row r="4" ht="20" customHeight="1" spans="1:12">
      <c r="A4" s="33" t="s">
        <v>132</v>
      </c>
      <c r="B4" s="33">
        <f>5000+1431.12</f>
        <v>6431.12</v>
      </c>
      <c r="C4" s="33">
        <f t="shared" ref="C4:K4" si="2">5000+1431.12</f>
        <v>6431.12</v>
      </c>
      <c r="D4" s="33">
        <f t="shared" si="2"/>
        <v>6431.12</v>
      </c>
      <c r="E4" s="33">
        <f t="shared" si="2"/>
        <v>6431.12</v>
      </c>
      <c r="F4" s="33">
        <f t="shared" si="2"/>
        <v>6431.12</v>
      </c>
      <c r="G4" s="33">
        <f t="shared" si="2"/>
        <v>6431.12</v>
      </c>
      <c r="H4" s="33">
        <f t="shared" si="2"/>
        <v>6431.12</v>
      </c>
      <c r="I4" s="33">
        <f t="shared" si="2"/>
        <v>6431.12</v>
      </c>
      <c r="J4" s="33">
        <f t="shared" si="2"/>
        <v>6431.12</v>
      </c>
      <c r="K4" s="33">
        <f t="shared" si="2"/>
        <v>6431.12</v>
      </c>
      <c r="L4" s="33">
        <f t="shared" si="1"/>
        <v>64311.2</v>
      </c>
    </row>
    <row r="5" ht="20" customHeight="1" spans="1:1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>
        <f t="shared" si="1"/>
        <v>0</v>
      </c>
    </row>
    <row r="6" ht="20" customHeight="1" spans="1:12">
      <c r="A6" s="33" t="s">
        <v>129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4">
        <f>SUM(L3:L5)</f>
        <v>148622.4</v>
      </c>
    </row>
  </sheetData>
  <mergeCells count="1">
    <mergeCell ref="A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6:G30"/>
  <sheetViews>
    <sheetView workbookViewId="0">
      <selection activeCell="L27" sqref="L27"/>
    </sheetView>
  </sheetViews>
  <sheetFormatPr defaultColWidth="8.725" defaultRowHeight="13.5" outlineLevelCol="6"/>
  <cols>
    <col min="7" max="7" width="11.5416666666667"/>
  </cols>
  <sheetData>
    <row r="26" spans="7:7">
      <c r="G26">
        <v>16250</v>
      </c>
    </row>
    <row r="27" spans="7:7">
      <c r="G27">
        <v>95568.7</v>
      </c>
    </row>
    <row r="28" spans="7:7">
      <c r="G28">
        <v>11120</v>
      </c>
    </row>
    <row r="29" spans="7:7">
      <c r="G29">
        <v>22144.67</v>
      </c>
    </row>
    <row r="30" spans="7:7">
      <c r="G30" s="32">
        <f>SUM(G26:G29)</f>
        <v>145083.37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5:J5"/>
  <sheetViews>
    <sheetView workbookViewId="0">
      <selection activeCell="L20" sqref="L20"/>
    </sheetView>
  </sheetViews>
  <sheetFormatPr defaultColWidth="8.725" defaultRowHeight="13.5" outlineLevelRow="4"/>
  <cols>
    <col min="9" max="9" width="18.5416666666667" customWidth="1"/>
  </cols>
  <sheetData>
    <row r="5" spans="9:10">
      <c r="I5" s="30" t="s">
        <v>133</v>
      </c>
      <c r="J5" s="31">
        <v>434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A1:D1"/>
    </sheetView>
  </sheetViews>
  <sheetFormatPr defaultColWidth="9" defaultRowHeight="13.5" outlineLevelRow="5" outlineLevelCol="3"/>
  <cols>
    <col min="3" max="3" width="25.625" customWidth="1"/>
    <col min="4" max="4" width="36" customWidth="1"/>
  </cols>
  <sheetData>
    <row r="1" ht="18.75" spans="1:4">
      <c r="A1" s="22" t="s">
        <v>134</v>
      </c>
      <c r="B1" s="23"/>
      <c r="C1" s="23"/>
      <c r="D1" s="24"/>
    </row>
    <row r="2" ht="14.25" spans="1:4">
      <c r="A2" s="25" t="s">
        <v>135</v>
      </c>
      <c r="B2" s="25" t="s">
        <v>136</v>
      </c>
      <c r="C2" s="25" t="s">
        <v>137</v>
      </c>
      <c r="D2" s="25" t="s">
        <v>2</v>
      </c>
    </row>
    <row r="3" ht="14.25" spans="1:4">
      <c r="A3" s="26" t="s">
        <v>138</v>
      </c>
      <c r="B3" s="26"/>
      <c r="C3" s="26"/>
      <c r="D3" s="27">
        <v>0</v>
      </c>
    </row>
    <row r="4" ht="18.75" spans="1:4">
      <c r="A4" s="28" t="s">
        <v>139</v>
      </c>
      <c r="B4" s="28"/>
      <c r="C4" s="28"/>
      <c r="D4" s="28"/>
    </row>
    <row r="5" ht="14.25" spans="1:4">
      <c r="A5" s="26" t="s">
        <v>138</v>
      </c>
      <c r="B5" s="26"/>
      <c r="C5" s="26"/>
      <c r="D5" s="29">
        <v>0</v>
      </c>
    </row>
    <row r="6" ht="14.25" spans="1:4">
      <c r="A6" s="26" t="s">
        <v>140</v>
      </c>
      <c r="B6" s="26"/>
      <c r="C6" s="26"/>
      <c r="D6" s="29">
        <v>0</v>
      </c>
    </row>
  </sheetData>
  <mergeCells count="5">
    <mergeCell ref="A1:D1"/>
    <mergeCell ref="A3:C3"/>
    <mergeCell ref="A4:D4"/>
    <mergeCell ref="A5:C5"/>
    <mergeCell ref="A6:C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2"/>
  <sheetViews>
    <sheetView topLeftCell="C15" workbookViewId="0">
      <selection activeCell="U55" sqref="U55"/>
    </sheetView>
  </sheetViews>
  <sheetFormatPr defaultColWidth="9" defaultRowHeight="12"/>
  <cols>
    <col min="1" max="1" width="13" style="1" customWidth="1"/>
    <col min="2" max="2" width="9" style="2"/>
    <col min="3" max="3" width="9.25" style="1"/>
    <col min="4" max="8" width="9" style="1"/>
    <col min="9" max="9" width="13" style="1" customWidth="1"/>
    <col min="10" max="10" width="13.125" style="1" customWidth="1"/>
    <col min="11" max="13" width="11.125" style="3"/>
    <col min="14" max="16" width="9" style="1"/>
    <col min="17" max="17" width="4" style="1" customWidth="1"/>
    <col min="18" max="18" width="9" style="1" hidden="1" customWidth="1"/>
    <col min="19" max="19" width="13.5" style="1" customWidth="1"/>
    <col min="20" max="20" width="21.5" style="2" customWidth="1"/>
    <col min="21" max="21" width="20" style="4" customWidth="1"/>
    <col min="22" max="22" width="15.25" style="1" customWidth="1"/>
    <col min="23" max="23" width="10.625" style="2" customWidth="1"/>
    <col min="24" max="16384" width="9" style="1"/>
  </cols>
  <sheetData>
    <row r="1" ht="24" customHeight="1" spans="19:23">
      <c r="S1" s="16" t="s">
        <v>141</v>
      </c>
      <c r="T1" s="16"/>
      <c r="U1" s="16"/>
      <c r="V1" s="16"/>
      <c r="W1" s="16"/>
    </row>
    <row r="2" ht="13" customHeight="1" spans="1:23">
      <c r="A2" s="1" t="s">
        <v>28</v>
      </c>
      <c r="B2" s="2" t="s">
        <v>26</v>
      </c>
      <c r="C2" s="3" t="s">
        <v>142</v>
      </c>
      <c r="D2" s="3" t="s">
        <v>143</v>
      </c>
      <c r="E2" s="3" t="s">
        <v>144</v>
      </c>
      <c r="F2" s="1" t="s">
        <v>145</v>
      </c>
      <c r="I2" s="13" t="s">
        <v>28</v>
      </c>
      <c r="J2" s="14">
        <v>208080.987928</v>
      </c>
      <c r="K2" s="15"/>
      <c r="L2" s="15"/>
      <c r="M2" s="15"/>
      <c r="S2" s="13" t="s">
        <v>28</v>
      </c>
      <c r="T2" s="17" t="s">
        <v>145</v>
      </c>
      <c r="U2" s="18" t="s">
        <v>142</v>
      </c>
      <c r="V2" s="17" t="s">
        <v>26</v>
      </c>
      <c r="W2" s="17" t="s">
        <v>146</v>
      </c>
    </row>
    <row r="3" ht="13" customHeight="1" spans="1:23">
      <c r="A3" s="5" t="s">
        <v>50</v>
      </c>
      <c r="B3" s="2" t="s">
        <v>27</v>
      </c>
      <c r="C3" s="6">
        <v>9000</v>
      </c>
      <c r="F3" s="5" t="s">
        <v>51</v>
      </c>
      <c r="I3" s="5" t="s">
        <v>50</v>
      </c>
      <c r="J3" s="5" t="s">
        <v>51</v>
      </c>
      <c r="K3" s="15">
        <f>SUMIFS($C:$C,$A:$A,$I3)</f>
        <v>14179.91</v>
      </c>
      <c r="L3" s="15">
        <f>K3/$K$46</f>
        <v>0.0285589438086324</v>
      </c>
      <c r="M3" s="15">
        <f>$J$2*L3</f>
        <v>5942.57324188047</v>
      </c>
      <c r="S3" s="13" t="s">
        <v>50</v>
      </c>
      <c r="T3" s="17" t="s">
        <v>147</v>
      </c>
      <c r="U3" s="18">
        <v>5942.57324188047</v>
      </c>
      <c r="V3" s="17" t="s">
        <v>27</v>
      </c>
      <c r="W3" s="17" t="s">
        <v>148</v>
      </c>
    </row>
    <row r="4" ht="13" customHeight="1" spans="1:23">
      <c r="A4" s="5" t="s">
        <v>50</v>
      </c>
      <c r="B4" s="2" t="s">
        <v>27</v>
      </c>
      <c r="C4" s="6">
        <v>1500</v>
      </c>
      <c r="F4" s="5" t="s">
        <v>51</v>
      </c>
      <c r="I4" s="7" t="s">
        <v>56</v>
      </c>
      <c r="J4" s="5" t="s">
        <v>51</v>
      </c>
      <c r="K4" s="15">
        <f>SUMIFS($C:$C,$A:$A,$I4)</f>
        <v>12706.95</v>
      </c>
      <c r="L4" s="15">
        <f t="shared" ref="L4:L43" si="0">K4/$K$46</f>
        <v>0.0255923395161959</v>
      </c>
      <c r="M4" s="15">
        <f t="shared" ref="M4:M43" si="1">$J$2*L4</f>
        <v>5325.27928991884</v>
      </c>
      <c r="S4" s="13" t="s">
        <v>56</v>
      </c>
      <c r="T4" s="17" t="s">
        <v>147</v>
      </c>
      <c r="U4" s="18">
        <v>5325.27928991884</v>
      </c>
      <c r="V4" s="17" t="s">
        <v>27</v>
      </c>
      <c r="W4" s="17" t="s">
        <v>148</v>
      </c>
    </row>
    <row r="5" ht="13" customHeight="1" spans="1:23">
      <c r="A5" s="7" t="s">
        <v>56</v>
      </c>
      <c r="B5" s="2" t="s">
        <v>27</v>
      </c>
      <c r="C5" s="8">
        <v>4950</v>
      </c>
      <c r="F5" s="7" t="s">
        <v>51</v>
      </c>
      <c r="I5" s="5" t="s">
        <v>58</v>
      </c>
      <c r="J5" s="5" t="s">
        <v>51</v>
      </c>
      <c r="K5" s="15">
        <f>SUMIFS($C:$C,$A:$A,$I5)</f>
        <v>18845.47</v>
      </c>
      <c r="L5" s="15">
        <f t="shared" si="0"/>
        <v>0.0379555807319841</v>
      </c>
      <c r="M5" s="15">
        <f t="shared" si="1"/>
        <v>7897.83473609221</v>
      </c>
      <c r="S5" s="13" t="s">
        <v>58</v>
      </c>
      <c r="T5" s="17" t="s">
        <v>147</v>
      </c>
      <c r="U5" s="18">
        <v>7897.83473609221</v>
      </c>
      <c r="V5" s="17" t="s">
        <v>27</v>
      </c>
      <c r="W5" s="17" t="s">
        <v>148</v>
      </c>
    </row>
    <row r="6" ht="13" customHeight="1" spans="1:23">
      <c r="A6" s="5" t="s">
        <v>58</v>
      </c>
      <c r="B6" s="2" t="s">
        <v>27</v>
      </c>
      <c r="C6" s="6">
        <v>9000</v>
      </c>
      <c r="F6" s="5" t="s">
        <v>51</v>
      </c>
      <c r="I6" s="5" t="s">
        <v>59</v>
      </c>
      <c r="J6" s="5" t="s">
        <v>51</v>
      </c>
      <c r="K6" s="15">
        <f>SUMIFS($C:$C,$A:$A,$I6)</f>
        <v>12457.78</v>
      </c>
      <c r="L6" s="15">
        <f t="shared" si="0"/>
        <v>0.0250905005039034</v>
      </c>
      <c r="M6" s="15">
        <f t="shared" si="1"/>
        <v>5220.8561324602</v>
      </c>
      <c r="S6" s="13" t="s">
        <v>59</v>
      </c>
      <c r="T6" s="17" t="s">
        <v>147</v>
      </c>
      <c r="U6" s="18">
        <v>5220.8561324602</v>
      </c>
      <c r="V6" s="17" t="s">
        <v>27</v>
      </c>
      <c r="W6" s="17" t="s">
        <v>148</v>
      </c>
    </row>
    <row r="7" ht="13" customHeight="1" spans="1:23">
      <c r="A7" s="5" t="s">
        <v>59</v>
      </c>
      <c r="B7" s="2" t="s">
        <v>27</v>
      </c>
      <c r="C7" s="6">
        <v>9000</v>
      </c>
      <c r="F7" s="5" t="s">
        <v>51</v>
      </c>
      <c r="I7" s="5" t="s">
        <v>61</v>
      </c>
      <c r="J7" s="5" t="s">
        <v>51</v>
      </c>
      <c r="K7" s="15">
        <f>SUMIFS($C:$C,$A:$A,$I7)</f>
        <v>20750</v>
      </c>
      <c r="L7" s="15">
        <f t="shared" si="0"/>
        <v>0.0417913854198738</v>
      </c>
      <c r="M7" s="15">
        <f t="shared" si="1"/>
        <v>8695.99276504716</v>
      </c>
      <c r="S7" s="13" t="s">
        <v>61</v>
      </c>
      <c r="T7" s="17" t="s">
        <v>147</v>
      </c>
      <c r="U7" s="18">
        <v>8695.99276504716</v>
      </c>
      <c r="V7" s="17" t="s">
        <v>27</v>
      </c>
      <c r="W7" s="17" t="s">
        <v>148</v>
      </c>
    </row>
    <row r="8" ht="13" customHeight="1" spans="1:23">
      <c r="A8" s="5" t="s">
        <v>61</v>
      </c>
      <c r="B8" s="2" t="s">
        <v>27</v>
      </c>
      <c r="C8" s="6">
        <v>13500</v>
      </c>
      <c r="F8" s="5" t="s">
        <v>51</v>
      </c>
      <c r="I8" s="5" t="s">
        <v>65</v>
      </c>
      <c r="J8" s="5" t="s">
        <v>51</v>
      </c>
      <c r="K8" s="15">
        <f>SUMIFS($C:$C,$A:$A,$I8)</f>
        <v>23040</v>
      </c>
      <c r="L8" s="15">
        <f t="shared" si="0"/>
        <v>0.0464035431360912</v>
      </c>
      <c r="M8" s="15">
        <f t="shared" si="1"/>
        <v>9655.69509911742</v>
      </c>
      <c r="S8" s="13" t="s">
        <v>65</v>
      </c>
      <c r="T8" s="17" t="s">
        <v>147</v>
      </c>
      <c r="U8" s="18">
        <v>9655.69509911742</v>
      </c>
      <c r="V8" s="17" t="s">
        <v>27</v>
      </c>
      <c r="W8" s="17" t="s">
        <v>148</v>
      </c>
    </row>
    <row r="9" ht="13" customHeight="1" spans="1:23">
      <c r="A9" s="5" t="s">
        <v>61</v>
      </c>
      <c r="B9" s="2" t="s">
        <v>27</v>
      </c>
      <c r="C9" s="6">
        <v>5250</v>
      </c>
      <c r="F9" s="5" t="s">
        <v>51</v>
      </c>
      <c r="I9" s="5" t="s">
        <v>68</v>
      </c>
      <c r="J9" s="5" t="s">
        <v>51</v>
      </c>
      <c r="K9" s="15">
        <f>SUMIFS($C:$C,$A:$A,$I9)</f>
        <v>7750</v>
      </c>
      <c r="L9" s="15">
        <f t="shared" si="0"/>
        <v>0.015608830698989</v>
      </c>
      <c r="M9" s="15">
        <f t="shared" si="1"/>
        <v>3247.90091224653</v>
      </c>
      <c r="S9" s="13" t="s">
        <v>68</v>
      </c>
      <c r="T9" s="17" t="s">
        <v>147</v>
      </c>
      <c r="U9" s="18">
        <v>3247.90091224653</v>
      </c>
      <c r="V9" s="17" t="s">
        <v>27</v>
      </c>
      <c r="W9" s="17" t="s">
        <v>148</v>
      </c>
    </row>
    <row r="10" ht="13" customHeight="1" spans="1:23">
      <c r="A10" s="5" t="s">
        <v>61</v>
      </c>
      <c r="B10" s="2" t="s">
        <v>27</v>
      </c>
      <c r="C10" s="6">
        <v>2000</v>
      </c>
      <c r="F10" s="5" t="s">
        <v>51</v>
      </c>
      <c r="I10" s="7" t="s">
        <v>70</v>
      </c>
      <c r="J10" s="5" t="s">
        <v>51</v>
      </c>
      <c r="K10" s="15">
        <f>SUMIFS($C:$C,$A:$A,$I10)</f>
        <v>3864.26</v>
      </c>
      <c r="L10" s="15">
        <f t="shared" si="0"/>
        <v>0.00778278453120972</v>
      </c>
      <c r="M10" s="15">
        <f t="shared" si="1"/>
        <v>1619.44949408488</v>
      </c>
      <c r="S10" s="13" t="s">
        <v>70</v>
      </c>
      <c r="T10" s="17" t="s">
        <v>147</v>
      </c>
      <c r="U10" s="18">
        <v>1619.44949408488</v>
      </c>
      <c r="V10" s="17" t="s">
        <v>27</v>
      </c>
      <c r="W10" s="17" t="s">
        <v>148</v>
      </c>
    </row>
    <row r="11" ht="13" customHeight="1" spans="1:23">
      <c r="A11" s="5" t="s">
        <v>65</v>
      </c>
      <c r="B11" s="2" t="s">
        <v>27</v>
      </c>
      <c r="C11" s="6">
        <v>9000</v>
      </c>
      <c r="F11" s="5" t="s">
        <v>51</v>
      </c>
      <c r="I11" s="5" t="s">
        <v>72</v>
      </c>
      <c r="J11" s="5" t="s">
        <v>51</v>
      </c>
      <c r="K11" s="15">
        <f>SUMIFS($C:$C,$A:$A,$I11)</f>
        <v>16952.51</v>
      </c>
      <c r="L11" s="15">
        <f t="shared" si="0"/>
        <v>0.0341430785177959</v>
      </c>
      <c r="M11" s="15">
        <f t="shared" si="1"/>
        <v>7104.52550888625</v>
      </c>
      <c r="S11" s="13" t="s">
        <v>72</v>
      </c>
      <c r="T11" s="17" t="s">
        <v>147</v>
      </c>
      <c r="U11" s="18">
        <v>7104.52550888625</v>
      </c>
      <c r="V11" s="17" t="s">
        <v>27</v>
      </c>
      <c r="W11" s="17" t="s">
        <v>148</v>
      </c>
    </row>
    <row r="12" ht="13" customHeight="1" spans="1:23">
      <c r="A12" s="5" t="s">
        <v>65</v>
      </c>
      <c r="B12" s="2" t="s">
        <v>27</v>
      </c>
      <c r="C12" s="6">
        <v>7000</v>
      </c>
      <c r="F12" s="5" t="s">
        <v>51</v>
      </c>
      <c r="I12" s="5" t="s">
        <v>74</v>
      </c>
      <c r="J12" s="5" t="s">
        <v>51</v>
      </c>
      <c r="K12" s="15">
        <f>SUMIFS($C:$C,$A:$A,$I12)</f>
        <v>2386.25</v>
      </c>
      <c r="L12" s="15">
        <f t="shared" si="0"/>
        <v>0.00480600932328549</v>
      </c>
      <c r="M12" s="15">
        <f t="shared" si="1"/>
        <v>1000.03916798042</v>
      </c>
      <c r="S12" s="13" t="s">
        <v>74</v>
      </c>
      <c r="T12" s="17" t="s">
        <v>147</v>
      </c>
      <c r="U12" s="18">
        <v>1000.03916798042</v>
      </c>
      <c r="V12" s="17" t="s">
        <v>27</v>
      </c>
      <c r="W12" s="17" t="s">
        <v>148</v>
      </c>
    </row>
    <row r="13" ht="13" customHeight="1" spans="1:23">
      <c r="A13" s="5" t="s">
        <v>65</v>
      </c>
      <c r="B13" s="2" t="s">
        <v>27</v>
      </c>
      <c r="C13" s="6">
        <v>960</v>
      </c>
      <c r="F13" s="5" t="s">
        <v>51</v>
      </c>
      <c r="I13" s="7" t="s">
        <v>75</v>
      </c>
      <c r="J13" s="5" t="s">
        <v>51</v>
      </c>
      <c r="K13" s="15">
        <f>SUMIFS($C:$C,$A:$A,$I13)</f>
        <v>2127.5</v>
      </c>
      <c r="L13" s="15">
        <f t="shared" si="0"/>
        <v>0.00428487578220634</v>
      </c>
      <c r="M13" s="15">
        <f t="shared" si="1"/>
        <v>891.601185910257</v>
      </c>
      <c r="S13" s="13" t="s">
        <v>75</v>
      </c>
      <c r="T13" s="17" t="s">
        <v>147</v>
      </c>
      <c r="U13" s="18">
        <v>891.601185910257</v>
      </c>
      <c r="V13" s="17" t="s">
        <v>27</v>
      </c>
      <c r="W13" s="17" t="s">
        <v>148</v>
      </c>
    </row>
    <row r="14" ht="13" customHeight="1" spans="1:23">
      <c r="A14" s="5" t="s">
        <v>65</v>
      </c>
      <c r="B14" s="2" t="s">
        <v>27</v>
      </c>
      <c r="C14" s="6">
        <v>2880</v>
      </c>
      <c r="F14" s="5" t="s">
        <v>51</v>
      </c>
      <c r="I14" s="7" t="s">
        <v>76</v>
      </c>
      <c r="J14" s="5" t="s">
        <v>51</v>
      </c>
      <c r="K14" s="15">
        <f>SUMIFS($C:$C,$A:$A,$I14)</f>
        <v>3330</v>
      </c>
      <c r="L14" s="15">
        <f t="shared" si="0"/>
        <v>0.00670676209388818</v>
      </c>
      <c r="M14" s="15">
        <f t="shared" si="1"/>
        <v>1395.54968229431</v>
      </c>
      <c r="S14" s="13" t="s">
        <v>76</v>
      </c>
      <c r="T14" s="17" t="s">
        <v>147</v>
      </c>
      <c r="U14" s="18">
        <v>1395.54968229431</v>
      </c>
      <c r="V14" s="17" t="s">
        <v>27</v>
      </c>
      <c r="W14" s="17" t="s">
        <v>148</v>
      </c>
    </row>
    <row r="15" ht="13" customHeight="1" spans="1:23">
      <c r="A15" s="5" t="s">
        <v>65</v>
      </c>
      <c r="B15" s="2" t="s">
        <v>27</v>
      </c>
      <c r="C15" s="6">
        <v>3200</v>
      </c>
      <c r="F15" s="5" t="s">
        <v>51</v>
      </c>
      <c r="I15" s="5" t="s">
        <v>78</v>
      </c>
      <c r="J15" s="5" t="s">
        <v>51</v>
      </c>
      <c r="K15" s="15">
        <f>SUMIFS($C:$C,$A:$A,$I15)</f>
        <v>9612.88</v>
      </c>
      <c r="L15" s="15">
        <f t="shared" si="0"/>
        <v>0.0193607505096384</v>
      </c>
      <c r="M15" s="15">
        <f t="shared" si="1"/>
        <v>4028.60409307309</v>
      </c>
      <c r="S15" s="13" t="s">
        <v>78</v>
      </c>
      <c r="T15" s="17" t="s">
        <v>147</v>
      </c>
      <c r="U15" s="18">
        <v>4028.60409307309</v>
      </c>
      <c r="V15" s="17" t="s">
        <v>27</v>
      </c>
      <c r="W15" s="17" t="s">
        <v>148</v>
      </c>
    </row>
    <row r="16" ht="13" customHeight="1" spans="1:23">
      <c r="A16" s="5" t="s">
        <v>68</v>
      </c>
      <c r="B16" s="2" t="s">
        <v>27</v>
      </c>
      <c r="C16" s="6">
        <v>4500</v>
      </c>
      <c r="F16" s="5" t="s">
        <v>51</v>
      </c>
      <c r="I16" s="5" t="s">
        <v>79</v>
      </c>
      <c r="J16" s="5" t="s">
        <v>51</v>
      </c>
      <c r="K16" s="15">
        <f>SUMIFS($C:$C,$A:$A,$I16)</f>
        <v>4500</v>
      </c>
      <c r="L16" s="15">
        <f t="shared" si="0"/>
        <v>0.00906319201876781</v>
      </c>
      <c r="M16" s="15">
        <f t="shared" si="1"/>
        <v>1885.87794904637</v>
      </c>
      <c r="S16" s="13" t="s">
        <v>79</v>
      </c>
      <c r="T16" s="17" t="s">
        <v>147</v>
      </c>
      <c r="U16" s="18">
        <v>1885.87794904637</v>
      </c>
      <c r="V16" s="17" t="s">
        <v>27</v>
      </c>
      <c r="W16" s="17" t="s">
        <v>148</v>
      </c>
    </row>
    <row r="17" ht="13" customHeight="1" spans="1:23">
      <c r="A17" s="5" t="s">
        <v>68</v>
      </c>
      <c r="B17" s="2" t="s">
        <v>27</v>
      </c>
      <c r="C17" s="6">
        <v>1250</v>
      </c>
      <c r="F17" s="5" t="s">
        <v>51</v>
      </c>
      <c r="I17" s="5" t="s">
        <v>80</v>
      </c>
      <c r="J17" s="5" t="s">
        <v>51</v>
      </c>
      <c r="K17" s="15">
        <f>SUMIFS($C:$C,$A:$A,$I17)</f>
        <v>20132.88</v>
      </c>
      <c r="L17" s="15">
        <f t="shared" si="0"/>
        <v>0.0405484794068467</v>
      </c>
      <c r="M17" s="15">
        <f t="shared" si="1"/>
        <v>8437.36765395483</v>
      </c>
      <c r="S17" s="13" t="s">
        <v>80</v>
      </c>
      <c r="T17" s="17" t="s">
        <v>147</v>
      </c>
      <c r="U17" s="18">
        <v>8437.36765395483</v>
      </c>
      <c r="V17" s="17" t="s">
        <v>27</v>
      </c>
      <c r="W17" s="17" t="s">
        <v>148</v>
      </c>
    </row>
    <row r="18" ht="13" customHeight="1" spans="1:23">
      <c r="A18" s="5" t="s">
        <v>68</v>
      </c>
      <c r="B18" s="2" t="s">
        <v>27</v>
      </c>
      <c r="C18" s="6">
        <v>2000</v>
      </c>
      <c r="F18" s="5" t="s">
        <v>51</v>
      </c>
      <c r="I18" s="5" t="s">
        <v>86</v>
      </c>
      <c r="J18" s="5" t="s">
        <v>51</v>
      </c>
      <c r="K18" s="15">
        <f t="shared" ref="K18:K39" si="2">SUMIFS($C:$C,$A:$A,$I18)</f>
        <v>7724.5</v>
      </c>
      <c r="L18" s="15">
        <f t="shared" si="0"/>
        <v>0.0155574726108827</v>
      </c>
      <c r="M18" s="15">
        <f t="shared" si="1"/>
        <v>3237.21427053527</v>
      </c>
      <c r="S18" s="13" t="s">
        <v>86</v>
      </c>
      <c r="T18" s="17" t="s">
        <v>147</v>
      </c>
      <c r="U18" s="18">
        <v>3237.21427053527</v>
      </c>
      <c r="V18" s="17" t="s">
        <v>27</v>
      </c>
      <c r="W18" s="17" t="s">
        <v>148</v>
      </c>
    </row>
    <row r="19" ht="13" customHeight="1" spans="1:23">
      <c r="A19" s="7" t="s">
        <v>70</v>
      </c>
      <c r="B19" s="2" t="s">
        <v>27</v>
      </c>
      <c r="C19" s="8">
        <v>2520</v>
      </c>
      <c r="F19" s="7" t="s">
        <v>51</v>
      </c>
      <c r="I19" s="5" t="s">
        <v>89</v>
      </c>
      <c r="J19" s="5" t="s">
        <v>51</v>
      </c>
      <c r="K19" s="15">
        <f t="shared" si="2"/>
        <v>3555</v>
      </c>
      <c r="L19" s="15">
        <f t="shared" si="0"/>
        <v>0.00715992169482657</v>
      </c>
      <c r="M19" s="15">
        <f t="shared" si="1"/>
        <v>1489.84357974663</v>
      </c>
      <c r="S19" s="13" t="s">
        <v>89</v>
      </c>
      <c r="T19" s="17" t="s">
        <v>147</v>
      </c>
      <c r="U19" s="18">
        <v>1489.84357974663</v>
      </c>
      <c r="V19" s="17" t="s">
        <v>27</v>
      </c>
      <c r="W19" s="17" t="s">
        <v>148</v>
      </c>
    </row>
    <row r="20" ht="13" customHeight="1" spans="1:23">
      <c r="A20" s="5" t="s">
        <v>72</v>
      </c>
      <c r="B20" s="2" t="s">
        <v>27</v>
      </c>
      <c r="C20" s="6">
        <v>3330</v>
      </c>
      <c r="F20" s="5" t="s">
        <v>51</v>
      </c>
      <c r="I20" s="7" t="s">
        <v>90</v>
      </c>
      <c r="J20" s="5" t="s">
        <v>51</v>
      </c>
      <c r="K20" s="15">
        <f t="shared" si="2"/>
        <v>4950</v>
      </c>
      <c r="L20" s="15">
        <f t="shared" si="0"/>
        <v>0.0099695112206446</v>
      </c>
      <c r="M20" s="15">
        <f t="shared" si="1"/>
        <v>2074.46574395101</v>
      </c>
      <c r="S20" s="13" t="s">
        <v>90</v>
      </c>
      <c r="T20" s="17" t="s">
        <v>147</v>
      </c>
      <c r="U20" s="18">
        <v>2074.46574395101</v>
      </c>
      <c r="V20" s="17" t="s">
        <v>27</v>
      </c>
      <c r="W20" s="17" t="s">
        <v>148</v>
      </c>
    </row>
    <row r="21" ht="13" customHeight="1" spans="1:23">
      <c r="A21" s="5" t="s">
        <v>74</v>
      </c>
      <c r="B21" s="2" t="s">
        <v>27</v>
      </c>
      <c r="C21" s="6">
        <v>1867.5</v>
      </c>
      <c r="F21" s="5" t="s">
        <v>51</v>
      </c>
      <c r="I21" s="7" t="s">
        <v>93</v>
      </c>
      <c r="J21" s="5" t="s">
        <v>51</v>
      </c>
      <c r="K21" s="15">
        <f t="shared" si="2"/>
        <v>8100</v>
      </c>
      <c r="L21" s="15">
        <f t="shared" si="0"/>
        <v>0.0163137456337821</v>
      </c>
      <c r="M21" s="15">
        <f t="shared" si="1"/>
        <v>3394.58030828348</v>
      </c>
      <c r="S21" s="13" t="s">
        <v>93</v>
      </c>
      <c r="T21" s="17" t="s">
        <v>147</v>
      </c>
      <c r="U21" s="18">
        <v>3394.58030828348</v>
      </c>
      <c r="V21" s="17" t="s">
        <v>27</v>
      </c>
      <c r="W21" s="17" t="s">
        <v>148</v>
      </c>
    </row>
    <row r="22" ht="13" customHeight="1" spans="1:23">
      <c r="A22" s="5" t="s">
        <v>74</v>
      </c>
      <c r="B22" s="2" t="s">
        <v>27</v>
      </c>
      <c r="C22" s="6">
        <v>518.75</v>
      </c>
      <c r="F22" s="5" t="s">
        <v>51</v>
      </c>
      <c r="I22" s="13" t="s">
        <v>101</v>
      </c>
      <c r="J22" s="5" t="s">
        <v>51</v>
      </c>
      <c r="K22" s="15">
        <f t="shared" si="2"/>
        <v>1035.76</v>
      </c>
      <c r="L22" s="15">
        <f t="shared" si="0"/>
        <v>0.00208606483674643</v>
      </c>
      <c r="M22" s="15">
        <f t="shared" si="1"/>
        <v>434.070432112059</v>
      </c>
      <c r="S22" s="13" t="s">
        <v>101</v>
      </c>
      <c r="T22" s="17" t="s">
        <v>147</v>
      </c>
      <c r="U22" s="18">
        <v>434.070432112059</v>
      </c>
      <c r="V22" s="17" t="s">
        <v>27</v>
      </c>
      <c r="W22" s="17" t="s">
        <v>148</v>
      </c>
    </row>
    <row r="23" ht="13" customHeight="1" spans="1:23">
      <c r="A23" s="7" t="s">
        <v>75</v>
      </c>
      <c r="B23" s="2" t="s">
        <v>27</v>
      </c>
      <c r="C23" s="8">
        <v>1665</v>
      </c>
      <c r="F23" s="7" t="s">
        <v>51</v>
      </c>
      <c r="I23" s="13" t="s">
        <v>106</v>
      </c>
      <c r="J23" s="5" t="s">
        <v>51</v>
      </c>
      <c r="K23" s="15">
        <f t="shared" si="2"/>
        <v>4703.04</v>
      </c>
      <c r="L23" s="15">
        <f t="shared" si="0"/>
        <v>0.00947212324265462</v>
      </c>
      <c r="M23" s="15">
        <f t="shared" si="1"/>
        <v>1970.96876210734</v>
      </c>
      <c r="S23" s="13" t="s">
        <v>106</v>
      </c>
      <c r="T23" s="17" t="s">
        <v>147</v>
      </c>
      <c r="U23" s="18">
        <v>1970.96876210734</v>
      </c>
      <c r="V23" s="17" t="s">
        <v>27</v>
      </c>
      <c r="W23" s="17" t="s">
        <v>148</v>
      </c>
    </row>
    <row r="24" ht="13" customHeight="1" spans="1:23">
      <c r="A24" s="7" t="s">
        <v>75</v>
      </c>
      <c r="B24" s="2" t="s">
        <v>27</v>
      </c>
      <c r="C24" s="8">
        <v>462.5</v>
      </c>
      <c r="F24" s="7" t="s">
        <v>51</v>
      </c>
      <c r="I24" s="13" t="s">
        <v>104</v>
      </c>
      <c r="J24" s="5" t="s">
        <v>51</v>
      </c>
      <c r="K24" s="15">
        <f t="shared" si="2"/>
        <v>1738.52</v>
      </c>
      <c r="L24" s="15">
        <f t="shared" si="0"/>
        <v>0.00350145346410405</v>
      </c>
      <c r="M24" s="15">
        <f t="shared" si="1"/>
        <v>728.585895994689</v>
      </c>
      <c r="S24" s="13" t="s">
        <v>104</v>
      </c>
      <c r="T24" s="17" t="s">
        <v>147</v>
      </c>
      <c r="U24" s="18">
        <v>728.585895994689</v>
      </c>
      <c r="V24" s="17" t="s">
        <v>27</v>
      </c>
      <c r="W24" s="17" t="s">
        <v>148</v>
      </c>
    </row>
    <row r="25" ht="13" customHeight="1" spans="1:23">
      <c r="A25" s="7" t="s">
        <v>76</v>
      </c>
      <c r="B25" s="2" t="s">
        <v>27</v>
      </c>
      <c r="C25" s="9">
        <v>3330</v>
      </c>
      <c r="F25" s="7" t="s">
        <v>51</v>
      </c>
      <c r="I25" s="13" t="s">
        <v>105</v>
      </c>
      <c r="J25" s="5" t="s">
        <v>51</v>
      </c>
      <c r="K25" s="15">
        <f t="shared" si="2"/>
        <v>6710.56</v>
      </c>
      <c r="L25" s="15">
        <f t="shared" si="0"/>
        <v>0.0135153541852139</v>
      </c>
      <c r="M25" s="15">
        <f t="shared" si="1"/>
        <v>2812.28825105614</v>
      </c>
      <c r="S25" s="13" t="s">
        <v>105</v>
      </c>
      <c r="T25" s="17" t="s">
        <v>147</v>
      </c>
      <c r="U25" s="18">
        <v>2812.28825105614</v>
      </c>
      <c r="V25" s="17" t="s">
        <v>27</v>
      </c>
      <c r="W25" s="17" t="s">
        <v>148</v>
      </c>
    </row>
    <row r="26" ht="13" customHeight="1" spans="1:23">
      <c r="A26" s="5" t="s">
        <v>78</v>
      </c>
      <c r="B26" s="2" t="s">
        <v>27</v>
      </c>
      <c r="C26" s="6">
        <v>9000</v>
      </c>
      <c r="F26" s="5" t="s">
        <v>51</v>
      </c>
      <c r="I26" s="13" t="s">
        <v>107</v>
      </c>
      <c r="J26" s="5" t="s">
        <v>51</v>
      </c>
      <c r="K26" s="15">
        <f t="shared" si="2"/>
        <v>2085.65</v>
      </c>
      <c r="L26" s="15">
        <f t="shared" si="0"/>
        <v>0.0042005880964318</v>
      </c>
      <c r="M26" s="15">
        <f t="shared" si="1"/>
        <v>874.062520984126</v>
      </c>
      <c r="S26" s="13" t="s">
        <v>107</v>
      </c>
      <c r="T26" s="17" t="s">
        <v>147</v>
      </c>
      <c r="U26" s="18">
        <v>874.062520984126</v>
      </c>
      <c r="V26" s="17" t="s">
        <v>27</v>
      </c>
      <c r="W26" s="17" t="s">
        <v>148</v>
      </c>
    </row>
    <row r="27" ht="13" customHeight="1" spans="1:23">
      <c r="A27" s="5" t="s">
        <v>79</v>
      </c>
      <c r="B27" s="2" t="s">
        <v>27</v>
      </c>
      <c r="C27" s="6">
        <v>4500</v>
      </c>
      <c r="F27" s="5" t="s">
        <v>51</v>
      </c>
      <c r="I27" s="13" t="s">
        <v>108</v>
      </c>
      <c r="J27" s="5" t="s">
        <v>51</v>
      </c>
      <c r="K27" s="15">
        <f t="shared" si="2"/>
        <v>33679</v>
      </c>
      <c r="L27" s="15">
        <f t="shared" si="0"/>
        <v>0.0678309431111292</v>
      </c>
      <c r="M27" s="15">
        <f t="shared" si="1"/>
        <v>14114.3296546517</v>
      </c>
      <c r="S27" s="13" t="s">
        <v>108</v>
      </c>
      <c r="T27" s="17" t="s">
        <v>147</v>
      </c>
      <c r="U27" s="18">
        <v>14114.3296546517</v>
      </c>
      <c r="V27" s="17" t="s">
        <v>27</v>
      </c>
      <c r="W27" s="17" t="s">
        <v>148</v>
      </c>
    </row>
    <row r="28" ht="13" customHeight="1" spans="1:23">
      <c r="A28" s="5" t="s">
        <v>80</v>
      </c>
      <c r="B28" s="2" t="s">
        <v>27</v>
      </c>
      <c r="C28" s="6">
        <v>9000</v>
      </c>
      <c r="F28" s="5" t="s">
        <v>51</v>
      </c>
      <c r="I28" s="13" t="s">
        <v>110</v>
      </c>
      <c r="J28" s="5" t="s">
        <v>51</v>
      </c>
      <c r="K28" s="15">
        <f t="shared" si="2"/>
        <v>175914.08</v>
      </c>
      <c r="L28" s="15">
        <f t="shared" si="0"/>
        <v>0.354298463521085</v>
      </c>
      <c r="M28" s="15">
        <f t="shared" si="1"/>
        <v>73722.7743108398</v>
      </c>
      <c r="S28" s="13" t="s">
        <v>110</v>
      </c>
      <c r="T28" s="17" t="s">
        <v>147</v>
      </c>
      <c r="U28" s="18">
        <v>73722.7743108398</v>
      </c>
      <c r="V28" s="17" t="s">
        <v>27</v>
      </c>
      <c r="W28" s="17" t="s">
        <v>148</v>
      </c>
    </row>
    <row r="29" ht="13" customHeight="1" spans="1:23">
      <c r="A29" s="5" t="s">
        <v>80</v>
      </c>
      <c r="B29" s="2" t="s">
        <v>27</v>
      </c>
      <c r="C29" s="6">
        <v>3500</v>
      </c>
      <c r="F29" s="5" t="s">
        <v>51</v>
      </c>
      <c r="I29" s="13" t="s">
        <v>112</v>
      </c>
      <c r="J29" s="5" t="s">
        <v>51</v>
      </c>
      <c r="K29" s="15">
        <f t="shared" si="2"/>
        <v>3082.78</v>
      </c>
      <c r="L29" s="15">
        <f t="shared" si="0"/>
        <v>0.00620885046480379</v>
      </c>
      <c r="M29" s="15">
        <f t="shared" si="1"/>
        <v>1291.94373861359</v>
      </c>
      <c r="S29" s="13" t="s">
        <v>112</v>
      </c>
      <c r="T29" s="17" t="s">
        <v>147</v>
      </c>
      <c r="U29" s="18">
        <v>1291.94373861359</v>
      </c>
      <c r="V29" s="17" t="s">
        <v>27</v>
      </c>
      <c r="W29" s="17" t="s">
        <v>148</v>
      </c>
    </row>
    <row r="30" ht="13" customHeight="1" spans="1:23">
      <c r="A30" s="5" t="s">
        <v>80</v>
      </c>
      <c r="B30" s="2" t="s">
        <v>27</v>
      </c>
      <c r="C30" s="6">
        <v>3000</v>
      </c>
      <c r="F30" s="5" t="s">
        <v>51</v>
      </c>
      <c r="I30" s="13" t="s">
        <v>113</v>
      </c>
      <c r="J30" s="5" t="s">
        <v>51</v>
      </c>
      <c r="K30" s="15">
        <f t="shared" si="2"/>
        <v>5260.92</v>
      </c>
      <c r="L30" s="15">
        <f t="shared" si="0"/>
        <v>0.0105957173678613</v>
      </c>
      <c r="M30" s="15">
        <f t="shared" si="1"/>
        <v>2204.76733771045</v>
      </c>
      <c r="S30" s="13" t="s">
        <v>113</v>
      </c>
      <c r="T30" s="17" t="s">
        <v>147</v>
      </c>
      <c r="U30" s="18">
        <v>2204.76733771045</v>
      </c>
      <c r="V30" s="17" t="s">
        <v>27</v>
      </c>
      <c r="W30" s="17" t="s">
        <v>148</v>
      </c>
    </row>
    <row r="31" ht="13" customHeight="1" spans="1:23">
      <c r="A31" s="5" t="s">
        <v>80</v>
      </c>
      <c r="B31" s="2" t="s">
        <v>27</v>
      </c>
      <c r="C31" s="6">
        <v>1680</v>
      </c>
      <c r="F31" s="5" t="s">
        <v>51</v>
      </c>
      <c r="I31" s="13" t="s">
        <v>114</v>
      </c>
      <c r="J31" s="5" t="s">
        <v>51</v>
      </c>
      <c r="K31" s="15">
        <f t="shared" si="2"/>
        <v>7159.82</v>
      </c>
      <c r="L31" s="15">
        <f t="shared" si="0"/>
        <v>0.0144201829955143</v>
      </c>
      <c r="M31" s="15">
        <f t="shared" si="1"/>
        <v>3000.56592380916</v>
      </c>
      <c r="S31" s="13" t="s">
        <v>114</v>
      </c>
      <c r="T31" s="17" t="s">
        <v>147</v>
      </c>
      <c r="U31" s="18">
        <v>3000.56592380916</v>
      </c>
      <c r="V31" s="17" t="s">
        <v>27</v>
      </c>
      <c r="W31" s="17" t="s">
        <v>148</v>
      </c>
    </row>
    <row r="32" ht="13" customHeight="1" spans="1:23">
      <c r="A32" s="5" t="s">
        <v>80</v>
      </c>
      <c r="B32" s="2" t="s">
        <v>27</v>
      </c>
      <c r="C32" s="6">
        <v>2000</v>
      </c>
      <c r="F32" s="5" t="s">
        <v>51</v>
      </c>
      <c r="I32" s="13" t="s">
        <v>117</v>
      </c>
      <c r="J32" s="5" t="s">
        <v>51</v>
      </c>
      <c r="K32" s="15">
        <f t="shared" si="2"/>
        <v>1091.39</v>
      </c>
      <c r="L32" s="15">
        <f t="shared" si="0"/>
        <v>0.00219810603052511</v>
      </c>
      <c r="M32" s="15">
        <f t="shared" si="1"/>
        <v>457.384074402159</v>
      </c>
      <c r="S32" s="13" t="s">
        <v>117</v>
      </c>
      <c r="T32" s="17" t="s">
        <v>147</v>
      </c>
      <c r="U32" s="18">
        <v>457.384074402159</v>
      </c>
      <c r="V32" s="17" t="s">
        <v>27</v>
      </c>
      <c r="W32" s="17" t="s">
        <v>148</v>
      </c>
    </row>
    <row r="33" ht="13" customHeight="1" spans="1:23">
      <c r="A33" s="5" t="s">
        <v>82</v>
      </c>
      <c r="B33" s="2" t="s">
        <v>27</v>
      </c>
      <c r="C33" s="6">
        <v>2325</v>
      </c>
      <c r="F33" s="5" t="s">
        <v>51</v>
      </c>
      <c r="I33" s="13" t="s">
        <v>119</v>
      </c>
      <c r="J33" s="5" t="s">
        <v>51</v>
      </c>
      <c r="K33" s="15">
        <f t="shared" si="2"/>
        <v>600</v>
      </c>
      <c r="L33" s="15">
        <f t="shared" si="0"/>
        <v>0.00120842560250238</v>
      </c>
      <c r="M33" s="15">
        <f t="shared" si="1"/>
        <v>251.450393206184</v>
      </c>
      <c r="S33" s="13" t="s">
        <v>119</v>
      </c>
      <c r="T33" s="17" t="s">
        <v>147</v>
      </c>
      <c r="U33" s="18">
        <v>251.450393206184</v>
      </c>
      <c r="V33" s="17" t="s">
        <v>27</v>
      </c>
      <c r="W33" s="17" t="s">
        <v>148</v>
      </c>
    </row>
    <row r="34" ht="13" customHeight="1" spans="1:23">
      <c r="A34" s="5" t="s">
        <v>83</v>
      </c>
      <c r="B34" s="2" t="s">
        <v>27</v>
      </c>
      <c r="C34" s="6">
        <v>2325</v>
      </c>
      <c r="F34" s="5" t="s">
        <v>51</v>
      </c>
      <c r="I34" s="13" t="s">
        <v>120</v>
      </c>
      <c r="J34" s="5" t="s">
        <v>51</v>
      </c>
      <c r="K34" s="15">
        <f t="shared" si="2"/>
        <v>500</v>
      </c>
      <c r="L34" s="15">
        <f t="shared" si="0"/>
        <v>0.00100702133541865</v>
      </c>
      <c r="M34" s="15">
        <f t="shared" si="1"/>
        <v>209.541994338487</v>
      </c>
      <c r="S34" s="13" t="s">
        <v>120</v>
      </c>
      <c r="T34" s="17" t="s">
        <v>147</v>
      </c>
      <c r="U34" s="18">
        <v>209.541994338487</v>
      </c>
      <c r="V34" s="17" t="s">
        <v>27</v>
      </c>
      <c r="W34" s="17" t="s">
        <v>148</v>
      </c>
    </row>
    <row r="35" ht="13" customHeight="1" spans="1:23">
      <c r="A35" s="5" t="s">
        <v>84</v>
      </c>
      <c r="B35" s="2" t="s">
        <v>27</v>
      </c>
      <c r="C35" s="6">
        <v>4650</v>
      </c>
      <c r="F35" s="5" t="s">
        <v>51</v>
      </c>
      <c r="I35" s="13" t="s">
        <v>121</v>
      </c>
      <c r="J35" s="5" t="s">
        <v>51</v>
      </c>
      <c r="K35" s="15">
        <f t="shared" si="2"/>
        <v>6000</v>
      </c>
      <c r="L35" s="15">
        <f t="shared" si="0"/>
        <v>0.0120842560250238</v>
      </c>
      <c r="M35" s="15">
        <f t="shared" si="1"/>
        <v>2514.50393206184</v>
      </c>
      <c r="S35" s="13" t="s">
        <v>121</v>
      </c>
      <c r="T35" s="17" t="s">
        <v>147</v>
      </c>
      <c r="U35" s="18">
        <v>2514.50393206184</v>
      </c>
      <c r="V35" s="17" t="s">
        <v>27</v>
      </c>
      <c r="W35" s="17" t="s">
        <v>148</v>
      </c>
    </row>
    <row r="36" ht="13" customHeight="1" spans="1:23">
      <c r="A36" s="5" t="s">
        <v>85</v>
      </c>
      <c r="B36" s="2" t="s">
        <v>27</v>
      </c>
      <c r="C36" s="6">
        <v>6975</v>
      </c>
      <c r="F36" s="5" t="s">
        <v>51</v>
      </c>
      <c r="I36" s="13" t="s">
        <v>123</v>
      </c>
      <c r="J36" s="5" t="s">
        <v>51</v>
      </c>
      <c r="K36" s="15">
        <f t="shared" si="2"/>
        <v>1372.4</v>
      </c>
      <c r="L36" s="15">
        <f t="shared" si="0"/>
        <v>0.0027640721614571</v>
      </c>
      <c r="M36" s="15">
        <f t="shared" si="1"/>
        <v>575.150866060276</v>
      </c>
      <c r="S36" s="13" t="s">
        <v>123</v>
      </c>
      <c r="T36" s="17" t="s">
        <v>147</v>
      </c>
      <c r="U36" s="18">
        <v>575.150866060276</v>
      </c>
      <c r="V36" s="17" t="s">
        <v>27</v>
      </c>
      <c r="W36" s="17" t="s">
        <v>148</v>
      </c>
    </row>
    <row r="37" ht="13" customHeight="1" spans="1:23">
      <c r="A37" s="5" t="s">
        <v>86</v>
      </c>
      <c r="B37" s="2" t="s">
        <v>27</v>
      </c>
      <c r="C37" s="6">
        <v>3555</v>
      </c>
      <c r="F37" s="5" t="s">
        <v>51</v>
      </c>
      <c r="I37" s="13" t="s">
        <v>125</v>
      </c>
      <c r="J37" s="5" t="s">
        <v>51</v>
      </c>
      <c r="K37" s="15">
        <f t="shared" si="2"/>
        <v>497.13</v>
      </c>
      <c r="L37" s="15">
        <f t="shared" si="0"/>
        <v>0.00100124103295334</v>
      </c>
      <c r="M37" s="15">
        <f t="shared" si="1"/>
        <v>208.339223290982</v>
      </c>
      <c r="S37" s="13" t="s">
        <v>125</v>
      </c>
      <c r="T37" s="17" t="s">
        <v>147</v>
      </c>
      <c r="U37" s="18">
        <v>208.339223290982</v>
      </c>
      <c r="V37" s="17" t="s">
        <v>27</v>
      </c>
      <c r="W37" s="17" t="s">
        <v>148</v>
      </c>
    </row>
    <row r="38" ht="13" customHeight="1" spans="1:23">
      <c r="A38" s="5" t="s">
        <v>86</v>
      </c>
      <c r="B38" s="2" t="s">
        <v>27</v>
      </c>
      <c r="C38" s="6">
        <v>1116</v>
      </c>
      <c r="F38" s="5" t="s">
        <v>51</v>
      </c>
      <c r="I38" s="13" t="s">
        <v>126</v>
      </c>
      <c r="J38" s="5" t="s">
        <v>51</v>
      </c>
      <c r="K38" s="15">
        <f t="shared" si="2"/>
        <v>2999.72</v>
      </c>
      <c r="L38" s="15">
        <f t="shared" si="0"/>
        <v>0.00604156408056404</v>
      </c>
      <c r="M38" s="15">
        <f t="shared" si="1"/>
        <v>1257.13462251408</v>
      </c>
      <c r="S38" s="13" t="s">
        <v>126</v>
      </c>
      <c r="T38" s="17" t="s">
        <v>147</v>
      </c>
      <c r="U38" s="18">
        <v>1257.13462251408</v>
      </c>
      <c r="V38" s="17" t="s">
        <v>27</v>
      </c>
      <c r="W38" s="17" t="s">
        <v>148</v>
      </c>
    </row>
    <row r="39" ht="13" customHeight="1" spans="1:23">
      <c r="A39" s="5" t="s">
        <v>86</v>
      </c>
      <c r="B39" s="2" t="s">
        <v>27</v>
      </c>
      <c r="C39" s="6">
        <v>1116</v>
      </c>
      <c r="F39" s="5" t="s">
        <v>51</v>
      </c>
      <c r="I39" s="13" t="s">
        <v>128</v>
      </c>
      <c r="J39" s="5" t="s">
        <v>51</v>
      </c>
      <c r="K39" s="15">
        <f t="shared" si="2"/>
        <v>8254.08</v>
      </c>
      <c r="L39" s="15">
        <f t="shared" si="0"/>
        <v>0.0166240693285047</v>
      </c>
      <c r="M39" s="15">
        <f t="shared" si="1"/>
        <v>3459.15276925882</v>
      </c>
      <c r="S39" s="13" t="s">
        <v>128</v>
      </c>
      <c r="T39" s="17" t="s">
        <v>147</v>
      </c>
      <c r="U39" s="18">
        <v>3459.15276925882</v>
      </c>
      <c r="V39" s="17" t="s">
        <v>27</v>
      </c>
      <c r="W39" s="17" t="s">
        <v>148</v>
      </c>
    </row>
    <row r="40" ht="13" customHeight="1" spans="1:23">
      <c r="A40" s="10" t="s">
        <v>86</v>
      </c>
      <c r="B40" s="2" t="s">
        <v>27</v>
      </c>
      <c r="C40" s="6">
        <v>1937.5</v>
      </c>
      <c r="F40" s="10" t="s">
        <v>51</v>
      </c>
      <c r="I40" s="5" t="s">
        <v>82</v>
      </c>
      <c r="J40" s="5" t="s">
        <v>51</v>
      </c>
      <c r="K40" s="15">
        <f>SUMIFS($C:$C,$A:$A,$I40)</f>
        <v>16447.51</v>
      </c>
      <c r="L40" s="15">
        <f t="shared" si="0"/>
        <v>0.0331259869690231</v>
      </c>
      <c r="M40" s="15">
        <f t="shared" si="1"/>
        <v>6892.88809460438</v>
      </c>
      <c r="S40" s="13" t="s">
        <v>82</v>
      </c>
      <c r="T40" s="17" t="s">
        <v>147</v>
      </c>
      <c r="U40" s="18">
        <v>6892.88809460438</v>
      </c>
      <c r="V40" s="17" t="s">
        <v>27</v>
      </c>
      <c r="W40" s="17" t="s">
        <v>148</v>
      </c>
    </row>
    <row r="41" ht="13" customHeight="1" spans="1:23">
      <c r="A41" s="5" t="s">
        <v>89</v>
      </c>
      <c r="B41" s="2" t="s">
        <v>27</v>
      </c>
      <c r="C41" s="6">
        <v>3555</v>
      </c>
      <c r="F41" s="5" t="s">
        <v>51</v>
      </c>
      <c r="I41" s="5" t="s">
        <v>83</v>
      </c>
      <c r="J41" s="5" t="s">
        <v>51</v>
      </c>
      <c r="K41" s="15">
        <f>SUMIFS($C:$C,$A:$A,$I41)</f>
        <v>8790.56</v>
      </c>
      <c r="L41" s="15">
        <f t="shared" si="0"/>
        <v>0.0177045629405555</v>
      </c>
      <c r="M41" s="15">
        <f t="shared" si="1"/>
        <v>3683.98294750425</v>
      </c>
      <c r="S41" s="13" t="s">
        <v>83</v>
      </c>
      <c r="T41" s="17" t="s">
        <v>147</v>
      </c>
      <c r="U41" s="18">
        <v>3683.98294750425</v>
      </c>
      <c r="V41" s="17" t="s">
        <v>27</v>
      </c>
      <c r="W41" s="17" t="s">
        <v>148</v>
      </c>
    </row>
    <row r="42" ht="13" customHeight="1" spans="1:23">
      <c r="A42" s="7" t="s">
        <v>90</v>
      </c>
      <c r="B42" s="2" t="s">
        <v>27</v>
      </c>
      <c r="C42" s="8">
        <v>4950</v>
      </c>
      <c r="F42" s="7" t="s">
        <v>51</v>
      </c>
      <c r="I42" s="5" t="s">
        <v>84</v>
      </c>
      <c r="J42" s="5" t="s">
        <v>51</v>
      </c>
      <c r="K42" s="15">
        <f>SUMIFS($C:$C,$A:$A,$I42)</f>
        <v>4650</v>
      </c>
      <c r="L42" s="15">
        <f t="shared" si="0"/>
        <v>0.00936529841939341</v>
      </c>
      <c r="M42" s="15">
        <f t="shared" si="1"/>
        <v>1948.74054734792</v>
      </c>
      <c r="S42" s="13" t="s">
        <v>84</v>
      </c>
      <c r="T42" s="17" t="s">
        <v>147</v>
      </c>
      <c r="U42" s="18">
        <v>1948.74054734792</v>
      </c>
      <c r="V42" s="17" t="s">
        <v>27</v>
      </c>
      <c r="W42" s="17" t="s">
        <v>148</v>
      </c>
    </row>
    <row r="43" ht="13" customHeight="1" spans="1:23">
      <c r="A43" s="7" t="s">
        <v>93</v>
      </c>
      <c r="B43" s="2" t="s">
        <v>27</v>
      </c>
      <c r="C43" s="8">
        <v>8100</v>
      </c>
      <c r="F43" s="7" t="s">
        <v>51</v>
      </c>
      <c r="I43" s="5" t="s">
        <v>85</v>
      </c>
      <c r="J43" s="5" t="s">
        <v>51</v>
      </c>
      <c r="K43" s="15">
        <f>SUMIFS($C:$C,$A:$A,$I43)</f>
        <v>6975</v>
      </c>
      <c r="L43" s="15">
        <f t="shared" si="0"/>
        <v>0.0140479476290901</v>
      </c>
      <c r="M43" s="15">
        <f t="shared" si="1"/>
        <v>2923.11082102187</v>
      </c>
      <c r="S43" s="13" t="s">
        <v>85</v>
      </c>
      <c r="T43" s="17" t="s">
        <v>147</v>
      </c>
      <c r="U43" s="18">
        <v>2923.11082102187</v>
      </c>
      <c r="V43" s="17" t="s">
        <v>27</v>
      </c>
      <c r="W43" s="17" t="s">
        <v>148</v>
      </c>
    </row>
    <row r="44" ht="16" customHeight="1" spans="1:23">
      <c r="A44" s="1" t="s">
        <v>101</v>
      </c>
      <c r="B44" s="2" t="s">
        <v>27</v>
      </c>
      <c r="C44" s="11">
        <v>1035.76</v>
      </c>
      <c r="F44" s="7" t="s">
        <v>149</v>
      </c>
      <c r="S44" s="13"/>
      <c r="T44" s="17"/>
      <c r="U44" s="18">
        <f>SUM(U3:U43)</f>
        <v>208080.987928</v>
      </c>
      <c r="V44" s="13"/>
      <c r="W44" s="17"/>
    </row>
    <row r="45" ht="16" customHeight="1" spans="1:23">
      <c r="A45" s="1" t="s">
        <v>106</v>
      </c>
      <c r="B45" s="2" t="s">
        <v>27</v>
      </c>
      <c r="C45" s="11">
        <v>1075.76</v>
      </c>
      <c r="F45" s="7" t="s">
        <v>149</v>
      </c>
      <c r="S45" s="19" t="s">
        <v>150</v>
      </c>
      <c r="T45" s="19"/>
      <c r="U45" s="19"/>
      <c r="V45" s="19"/>
      <c r="W45" s="19"/>
    </row>
    <row r="46" ht="14" customHeight="1" spans="1:22">
      <c r="A46" s="1" t="s">
        <v>104</v>
      </c>
      <c r="B46" s="2" t="s">
        <v>27</v>
      </c>
      <c r="C46" s="11">
        <v>1738.52</v>
      </c>
      <c r="F46" s="7" t="s">
        <v>149</v>
      </c>
      <c r="K46" s="3">
        <f>SUM(K3:K45)</f>
        <v>496513.81</v>
      </c>
      <c r="M46" s="3">
        <f>SUM(M3:M45)</f>
        <v>208080.987928</v>
      </c>
      <c r="S46" s="2"/>
      <c r="U46" s="20"/>
      <c r="V46" s="2" t="s">
        <v>151</v>
      </c>
    </row>
    <row r="47" spans="1:22">
      <c r="A47" s="1" t="s">
        <v>56</v>
      </c>
      <c r="B47" s="2" t="s">
        <v>27</v>
      </c>
      <c r="C47" s="12">
        <v>3679.91</v>
      </c>
      <c r="F47" s="7" t="s">
        <v>149</v>
      </c>
      <c r="U47" s="20"/>
      <c r="V47" s="2"/>
    </row>
    <row r="48" spans="1:22">
      <c r="A48" s="1" t="s">
        <v>105</v>
      </c>
      <c r="B48" s="2" t="s">
        <v>27</v>
      </c>
      <c r="C48" s="12">
        <v>5558.8</v>
      </c>
      <c r="F48" s="7" t="s">
        <v>149</v>
      </c>
      <c r="V48" s="2"/>
    </row>
    <row r="49" spans="1:22">
      <c r="A49" s="1" t="s">
        <v>106</v>
      </c>
      <c r="B49" s="2" t="s">
        <v>27</v>
      </c>
      <c r="C49" s="12">
        <v>612.88</v>
      </c>
      <c r="F49" s="7" t="s">
        <v>149</v>
      </c>
      <c r="V49" s="2"/>
    </row>
    <row r="50" spans="1:6">
      <c r="A50" s="1" t="s">
        <v>59</v>
      </c>
      <c r="B50" s="2" t="s">
        <v>27</v>
      </c>
      <c r="C50" s="12">
        <v>3457.78</v>
      </c>
      <c r="F50" s="7" t="s">
        <v>149</v>
      </c>
    </row>
    <row r="51" spans="1:6">
      <c r="A51" s="1" t="s">
        <v>106</v>
      </c>
      <c r="B51" s="2" t="s">
        <v>27</v>
      </c>
      <c r="C51" s="12">
        <v>662.88</v>
      </c>
      <c r="F51" s="7" t="s">
        <v>149</v>
      </c>
    </row>
    <row r="52" spans="1:6">
      <c r="A52" s="1" t="s">
        <v>83</v>
      </c>
      <c r="B52" s="2" t="s">
        <v>27</v>
      </c>
      <c r="C52" s="12">
        <v>6465.56</v>
      </c>
      <c r="F52" s="7" t="s">
        <v>149</v>
      </c>
    </row>
    <row r="53" spans="1:6">
      <c r="A53" s="1" t="s">
        <v>107</v>
      </c>
      <c r="B53" s="2" t="s">
        <v>27</v>
      </c>
      <c r="C53" s="12">
        <v>2085.65</v>
      </c>
      <c r="F53" s="7" t="s">
        <v>149</v>
      </c>
    </row>
    <row r="54" spans="1:6">
      <c r="A54" s="1" t="s">
        <v>108</v>
      </c>
      <c r="B54" s="2" t="s">
        <v>27</v>
      </c>
      <c r="C54" s="11">
        <v>33679</v>
      </c>
      <c r="F54" s="7" t="s">
        <v>149</v>
      </c>
    </row>
    <row r="55" spans="1:6">
      <c r="A55" s="1" t="s">
        <v>58</v>
      </c>
      <c r="B55" s="2" t="s">
        <v>27</v>
      </c>
      <c r="C55" s="12">
        <v>9845.47</v>
      </c>
      <c r="F55" s="7" t="s">
        <v>149</v>
      </c>
    </row>
    <row r="56" spans="1:6">
      <c r="A56" s="1" t="s">
        <v>110</v>
      </c>
      <c r="B56" s="2" t="s">
        <v>27</v>
      </c>
      <c r="C56" s="11">
        <v>25914.08</v>
      </c>
      <c r="F56" s="7" t="s">
        <v>149</v>
      </c>
    </row>
    <row r="57" spans="1:6">
      <c r="A57" s="1" t="s">
        <v>78</v>
      </c>
      <c r="B57" s="2" t="s">
        <v>27</v>
      </c>
      <c r="C57" s="12">
        <v>612.88</v>
      </c>
      <c r="F57" s="7" t="s">
        <v>149</v>
      </c>
    </row>
    <row r="58" spans="1:6">
      <c r="A58" s="1" t="s">
        <v>80</v>
      </c>
      <c r="B58" s="2" t="s">
        <v>27</v>
      </c>
      <c r="C58" s="12">
        <v>952.88</v>
      </c>
      <c r="F58" s="7" t="s">
        <v>149</v>
      </c>
    </row>
    <row r="59" spans="1:6">
      <c r="A59" s="1" t="s">
        <v>50</v>
      </c>
      <c r="B59" s="2" t="s">
        <v>27</v>
      </c>
      <c r="C59" s="12">
        <v>3679.91</v>
      </c>
      <c r="F59" s="7" t="s">
        <v>149</v>
      </c>
    </row>
    <row r="60" spans="1:6">
      <c r="A60" s="1" t="s">
        <v>112</v>
      </c>
      <c r="B60" s="2" t="s">
        <v>27</v>
      </c>
      <c r="C60" s="12">
        <v>3082.78</v>
      </c>
      <c r="F60" s="7" t="s">
        <v>149</v>
      </c>
    </row>
    <row r="61" spans="1:6">
      <c r="A61" s="1" t="s">
        <v>56</v>
      </c>
      <c r="B61" s="2" t="s">
        <v>27</v>
      </c>
      <c r="C61" s="12">
        <v>4077.04</v>
      </c>
      <c r="F61" s="7" t="s">
        <v>149</v>
      </c>
    </row>
    <row r="62" spans="1:6">
      <c r="A62" s="1" t="s">
        <v>70</v>
      </c>
      <c r="B62" s="2" t="s">
        <v>27</v>
      </c>
      <c r="C62" s="12">
        <v>1344.26</v>
      </c>
      <c r="F62" s="7" t="s">
        <v>149</v>
      </c>
    </row>
    <row r="63" spans="1:6">
      <c r="A63" s="1" t="s">
        <v>113</v>
      </c>
      <c r="B63" s="2" t="s">
        <v>27</v>
      </c>
      <c r="C63" s="11">
        <v>5260.92</v>
      </c>
      <c r="F63" s="7" t="s">
        <v>149</v>
      </c>
    </row>
    <row r="64" spans="1:6">
      <c r="A64" s="1" t="s">
        <v>106</v>
      </c>
      <c r="B64" s="2" t="s">
        <v>27</v>
      </c>
      <c r="C64" s="12">
        <v>662.88</v>
      </c>
      <c r="F64" s="7" t="s">
        <v>149</v>
      </c>
    </row>
    <row r="65" spans="1:6">
      <c r="A65" s="1" t="s">
        <v>82</v>
      </c>
      <c r="B65" s="2" t="s">
        <v>27</v>
      </c>
      <c r="C65" s="12">
        <v>14122.51</v>
      </c>
      <c r="F65" s="7" t="s">
        <v>149</v>
      </c>
    </row>
    <row r="66" spans="1:6">
      <c r="A66" s="1" t="s">
        <v>106</v>
      </c>
      <c r="B66" s="2" t="s">
        <v>27</v>
      </c>
      <c r="C66" s="12">
        <v>662.88</v>
      </c>
      <c r="F66" s="7" t="s">
        <v>149</v>
      </c>
    </row>
    <row r="67" spans="1:6">
      <c r="A67" s="1" t="s">
        <v>72</v>
      </c>
      <c r="B67" s="2" t="s">
        <v>27</v>
      </c>
      <c r="C67" s="12">
        <v>3579.91</v>
      </c>
      <c r="F67" s="7" t="s">
        <v>149</v>
      </c>
    </row>
    <row r="68" spans="1:6">
      <c r="A68" s="1" t="s">
        <v>105</v>
      </c>
      <c r="B68" s="2" t="s">
        <v>27</v>
      </c>
      <c r="C68" s="12">
        <v>1151.76</v>
      </c>
      <c r="F68" s="7" t="s">
        <v>149</v>
      </c>
    </row>
    <row r="69" spans="1:6">
      <c r="A69" s="1" t="s">
        <v>114</v>
      </c>
      <c r="B69" s="2" t="s">
        <v>27</v>
      </c>
      <c r="C69" s="12">
        <v>7159.82</v>
      </c>
      <c r="F69" s="7" t="s">
        <v>149</v>
      </c>
    </row>
    <row r="70" spans="1:6">
      <c r="A70" s="1" t="s">
        <v>117</v>
      </c>
      <c r="B70" s="2" t="s">
        <v>27</v>
      </c>
      <c r="C70" s="12">
        <v>1091.39</v>
      </c>
      <c r="F70" s="7" t="s">
        <v>149</v>
      </c>
    </row>
    <row r="71" spans="1:6">
      <c r="A71" s="1" t="s">
        <v>72</v>
      </c>
      <c r="B71" s="2" t="s">
        <v>27</v>
      </c>
      <c r="C71" s="21">
        <v>10042.6</v>
      </c>
      <c r="F71" s="7" t="s">
        <v>149</v>
      </c>
    </row>
    <row r="72" spans="1:6">
      <c r="A72" s="1" t="s">
        <v>119</v>
      </c>
      <c r="B72" s="2" t="s">
        <v>27</v>
      </c>
      <c r="C72" s="12">
        <v>600</v>
      </c>
      <c r="F72" s="7" t="s">
        <v>149</v>
      </c>
    </row>
    <row r="73" spans="1:6">
      <c r="A73" s="1" t="s">
        <v>120</v>
      </c>
      <c r="B73" s="2" t="s">
        <v>27</v>
      </c>
      <c r="C73" s="12">
        <v>500</v>
      </c>
      <c r="F73" s="7" t="s">
        <v>149</v>
      </c>
    </row>
    <row r="74" spans="1:6">
      <c r="A74" s="1" t="s">
        <v>121</v>
      </c>
      <c r="B74" s="2" t="s">
        <v>27</v>
      </c>
      <c r="C74" s="21">
        <v>6000</v>
      </c>
      <c r="F74" s="7" t="s">
        <v>149</v>
      </c>
    </row>
    <row r="75" spans="1:6">
      <c r="A75" s="1" t="s">
        <v>123</v>
      </c>
      <c r="B75" s="2" t="s">
        <v>27</v>
      </c>
      <c r="C75" s="12">
        <v>1372.4</v>
      </c>
      <c r="F75" s="7" t="s">
        <v>149</v>
      </c>
    </row>
    <row r="76" spans="1:6">
      <c r="A76" s="1" t="s">
        <v>125</v>
      </c>
      <c r="B76" s="2" t="s">
        <v>27</v>
      </c>
      <c r="C76" s="11">
        <v>497.13</v>
      </c>
      <c r="F76" s="7" t="s">
        <v>149</v>
      </c>
    </row>
    <row r="77" spans="1:6">
      <c r="A77" s="1" t="s">
        <v>126</v>
      </c>
      <c r="B77" s="2" t="s">
        <v>27</v>
      </c>
      <c r="C77" s="11">
        <v>2999.72</v>
      </c>
      <c r="F77" s="7" t="s">
        <v>149</v>
      </c>
    </row>
    <row r="78" spans="1:6">
      <c r="A78" s="1" t="s">
        <v>106</v>
      </c>
      <c r="B78" s="2" t="s">
        <v>27</v>
      </c>
      <c r="C78" s="11">
        <v>1025.76</v>
      </c>
      <c r="F78" s="7" t="s">
        <v>149</v>
      </c>
    </row>
    <row r="79" spans="1:6">
      <c r="A79" s="1" t="s">
        <v>128</v>
      </c>
      <c r="B79" s="2" t="s">
        <v>27</v>
      </c>
      <c r="C79" s="11">
        <v>8254.08</v>
      </c>
      <c r="F79" s="7" t="s">
        <v>149</v>
      </c>
    </row>
    <row r="80" spans="1:6">
      <c r="A80" s="1" t="s">
        <v>110</v>
      </c>
      <c r="B80" s="2" t="s">
        <v>27</v>
      </c>
      <c r="C80" s="11">
        <v>150000</v>
      </c>
      <c r="F80" s="7" t="s">
        <v>149</v>
      </c>
    </row>
    <row r="82" spans="3:3">
      <c r="C82" s="1">
        <f>SUM(C3:C81)</f>
        <v>496513.81</v>
      </c>
    </row>
  </sheetData>
  <protectedRanges>
    <protectedRange sqref="C3:C40" name="区域1"/>
  </protectedRanges>
  <autoFilter ref="I2:I43">
    <extLst/>
  </autoFilter>
  <mergeCells count="10">
    <mergeCell ref="S1:W1"/>
    <mergeCell ref="S45:W45"/>
    <mergeCell ref="S46:S47"/>
    <mergeCell ref="T46:T47"/>
    <mergeCell ref="T48:T49"/>
    <mergeCell ref="U46:U47"/>
    <mergeCell ref="V46:V47"/>
    <mergeCell ref="V48:V49"/>
    <mergeCell ref="W46:W47"/>
    <mergeCell ref="W48:W49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1" master="">
    <arrUserId title="区域1" rangeCreator="" othersAccessPermission="edit"/>
    <arrUserId title="区域1_1" rangeCreator="" othersAccessPermission="edit"/>
  </rangeList>
  <rangeList sheetStid="2" master=""/>
  <rangeList sheetStid="4" master=""/>
  <rangeList sheetStid="5" master=""/>
  <rangeList sheetStid="6" master=""/>
  <rangeList sheetStid="8" master=""/>
  <rangeList sheetStid="7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国贸合计</vt:lpstr>
      <vt:lpstr>维保包干费明细</vt:lpstr>
      <vt:lpstr>维修包干费明细</vt:lpstr>
      <vt:lpstr>应扣工资明细</vt:lpstr>
      <vt:lpstr>已发包干费明细</vt:lpstr>
      <vt:lpstr>应扣材料费明细</vt:lpstr>
      <vt:lpstr>第二次补扣明细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2021-12-20T07:21:00Z</dcterms:created>
  <dcterms:modified xsi:type="dcterms:W3CDTF">2022-04-29T01:21:45Z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2E80AECE9FF1492B845787AB03313BBB</vt:lpwstr>
  </property>
</Properties>
</file>