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1" firstSheet="1" activeTab="1"/>
  </bookViews>
  <sheets>
    <sheet name="社保分析" sheetId="25" r:id="rId1"/>
    <sheet name="社保缴纳明细" sheetId="21" r:id="rId2"/>
    <sheet name="社保减员明细 " sheetId="23" r:id="rId3"/>
    <sheet name="公积金" sheetId="15" r:id="rId4"/>
    <sheet name="对应银行" sheetId="22" r:id="rId5"/>
    <sheet name="0" sheetId="24" r:id="rId6"/>
    <sheet name="Sheet1" sheetId="26" r:id="rId7"/>
  </sheets>
  <externalReferences>
    <externalReference r:id="rId11"/>
  </externalReferences>
  <definedNames>
    <definedName name="_xlnm._FilterDatabase" localSheetId="1" hidden="1">社保缴纳明细!$A$1:$X$36</definedName>
  </definedNames>
  <calcPr calcId="144525"/>
  <pivotCaches>
    <pivotCache cacheId="0" r:id="rId9"/>
    <pivotCache cacheId="1" r:id="rId10"/>
  </pivotCaches>
</workbook>
</file>

<file path=xl/comments1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5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25" authorId="1">
      <text>
        <r>
          <rPr>
            <sz val="9"/>
            <rFont val="宋体"/>
            <charset val="134"/>
          </rPr>
          <t>荣辉工伤系数为1.1%</t>
        </r>
      </text>
    </comment>
    <comment ref="N33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7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工商系数0.02%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N14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20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comments3.xml><?xml version="1.0" encoding="utf-8"?>
<comments xmlns="http://schemas.openxmlformats.org/spreadsheetml/2006/main">
  <authors>
    <author>86186</author>
  </authors>
  <commentList>
    <comment ref="A4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</commentList>
</comments>
</file>

<file path=xl/sharedStrings.xml><?xml version="1.0" encoding="utf-8"?>
<sst xmlns="http://schemas.openxmlformats.org/spreadsheetml/2006/main" count="603" uniqueCount="198">
  <si>
    <t>部门</t>
  </si>
  <si>
    <t>求和项:公司部分合计</t>
  </si>
  <si>
    <t>单位</t>
  </si>
  <si>
    <t>计数项:姓名</t>
  </si>
  <si>
    <t>财务部</t>
  </si>
  <si>
    <t>荣辉洁源</t>
  </si>
  <si>
    <t>工程部</t>
  </si>
  <si>
    <t>三汇冷暖</t>
  </si>
  <si>
    <t>客服部</t>
  </si>
  <si>
    <t>三汇能环</t>
  </si>
  <si>
    <t>人资部</t>
  </si>
  <si>
    <t>芝麻物联</t>
  </si>
  <si>
    <t>商贸部</t>
  </si>
  <si>
    <t>总计</t>
  </si>
  <si>
    <t>销售部</t>
  </si>
  <si>
    <t>信息部</t>
  </si>
  <si>
    <t>运维部</t>
  </si>
  <si>
    <t>总经理室</t>
  </si>
  <si>
    <t>序
号</t>
  </si>
  <si>
    <t>姓名</t>
  </si>
  <si>
    <t>地标</t>
  </si>
  <si>
    <t>身份证号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</si>
  <si>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</si>
  <si>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</si>
  <si>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</si>
  <si>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</si>
  <si>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</si>
  <si>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</si>
  <si>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</si>
  <si>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</si>
  <si>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</si>
  <si>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</si>
  <si>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</si>
  <si>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</si>
  <si>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</si>
  <si>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</si>
  <si>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</si>
  <si>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</si>
  <si>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</si>
  <si>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</si>
  <si>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徐利斌</t>
  </si>
  <si>
    <t>总裁室</t>
  </si>
  <si>
    <t>432503197103130052</t>
  </si>
  <si>
    <t>外埠城镇职工</t>
  </si>
  <si>
    <t>是</t>
  </si>
  <si>
    <t>赵沙</t>
  </si>
  <si>
    <t>客服中心</t>
  </si>
  <si>
    <t>110108198603013125</t>
  </si>
  <si>
    <t>本市城镇职工</t>
  </si>
  <si>
    <t>赵兴华</t>
  </si>
  <si>
    <t>130433198607190328</t>
  </si>
  <si>
    <t>外埠农村劳动力</t>
  </si>
  <si>
    <t>刘述珍</t>
  </si>
  <si>
    <t>商贸中心</t>
  </si>
  <si>
    <t>43252219731110582X</t>
  </si>
  <si>
    <t>李伟朋</t>
  </si>
  <si>
    <t>财务中心</t>
  </si>
  <si>
    <t>411627199212156455</t>
  </si>
  <si>
    <t>刘柯</t>
  </si>
  <si>
    <t>432522197611196401</t>
  </si>
  <si>
    <t>张立昆</t>
  </si>
  <si>
    <t>工程中心</t>
  </si>
  <si>
    <t>130623198601080310</t>
  </si>
  <si>
    <t>李军</t>
  </si>
  <si>
    <t>132424197710164217</t>
  </si>
  <si>
    <t>孔小贺</t>
  </si>
  <si>
    <t>130582198703212059</t>
  </si>
  <si>
    <t>孙方涛</t>
  </si>
  <si>
    <t>综合中心</t>
  </si>
  <si>
    <t>230421198108242419</t>
  </si>
  <si>
    <t>郭佩港</t>
  </si>
  <si>
    <t>维保中心</t>
  </si>
  <si>
    <t>432522199709185814</t>
  </si>
  <si>
    <t>万树壮</t>
  </si>
  <si>
    <t>130823199507096215</t>
  </si>
  <si>
    <t>李君</t>
  </si>
  <si>
    <t>431202198109180457</t>
  </si>
  <si>
    <t>赵坤宇</t>
  </si>
  <si>
    <t>130929200002024653</t>
  </si>
  <si>
    <t>赵锦誉</t>
  </si>
  <si>
    <t>110104197905250011</t>
  </si>
  <si>
    <t>申瑛</t>
  </si>
  <si>
    <t>信息中心</t>
  </si>
  <si>
    <t>430521199307196854</t>
  </si>
  <si>
    <t>石亚辉</t>
  </si>
  <si>
    <t>运行中心</t>
  </si>
  <si>
    <t>东方梅地亚</t>
  </si>
  <si>
    <t>132401196603306313</t>
  </si>
  <si>
    <t>胡冬杰</t>
  </si>
  <si>
    <t>130623198606032414</t>
  </si>
  <si>
    <t>程亚东</t>
  </si>
  <si>
    <t>和乔丽晶</t>
  </si>
  <si>
    <t>210922196601121216</t>
  </si>
  <si>
    <t>袁宝林</t>
  </si>
  <si>
    <t>沁园公寓</t>
  </si>
  <si>
    <t>130732199506132115</t>
  </si>
  <si>
    <t>王久利</t>
  </si>
  <si>
    <t>兴安嘉业</t>
  </si>
  <si>
    <t>132429197009253811</t>
  </si>
  <si>
    <t>张建平</t>
  </si>
  <si>
    <t>宇达创意中心</t>
  </si>
  <si>
    <t>130731196609210059</t>
  </si>
  <si>
    <t>王晓兵</t>
  </si>
  <si>
    <t>410521198705228075</t>
  </si>
  <si>
    <t>肖丽琴</t>
  </si>
  <si>
    <t>362428198310203224</t>
  </si>
  <si>
    <t>王梦飞</t>
  </si>
  <si>
    <t>131002198901011882</t>
  </si>
  <si>
    <t>王景</t>
  </si>
  <si>
    <t>142431197512217213</t>
  </si>
  <si>
    <t>卢志强</t>
  </si>
  <si>
    <t>371421198710184217</t>
  </si>
  <si>
    <t>李春林</t>
  </si>
  <si>
    <t>韦伯豪家园</t>
  </si>
  <si>
    <t>132532197102022114</t>
  </si>
  <si>
    <t>景双林</t>
  </si>
  <si>
    <t>142625197105083012</t>
  </si>
  <si>
    <t>郭晶</t>
  </si>
  <si>
    <t>413026198704109346</t>
  </si>
  <si>
    <t>赵辉</t>
  </si>
  <si>
    <t>110224198601021813</t>
  </si>
  <si>
    <t>许云付</t>
  </si>
  <si>
    <t>运维中心</t>
  </si>
  <si>
    <t>环境大厦</t>
  </si>
  <si>
    <t>430422196803031239</t>
  </si>
  <si>
    <t>邱维保</t>
  </si>
  <si>
    <t>432302196409273716</t>
  </si>
  <si>
    <t>李莉薪</t>
  </si>
  <si>
    <t>销售中心</t>
  </si>
  <si>
    <t>142729198510144224</t>
  </si>
  <si>
    <t>谷苗</t>
  </si>
  <si>
    <t>110106197606230048</t>
  </si>
  <si>
    <t>徐禹烨</t>
  </si>
  <si>
    <t>432501200210260022</t>
  </si>
  <si>
    <t>项目</t>
  </si>
  <si>
    <t>是否减员成功</t>
  </si>
  <si>
    <t>向丹丹</t>
  </si>
  <si>
    <t>430703198612021122</t>
  </si>
  <si>
    <t>杜凯</t>
  </si>
  <si>
    <t>富地广场</t>
  </si>
  <si>
    <t>132532197504221212</t>
  </si>
  <si>
    <t xml:space="preserve">外埠农村劳动力  </t>
  </si>
  <si>
    <t>陈国清</t>
  </si>
  <si>
    <t>360502197404181658</t>
  </si>
  <si>
    <t>本市农村劳动力</t>
  </si>
  <si>
    <t>魏爱兵</t>
  </si>
  <si>
    <t>372501197403192053</t>
  </si>
  <si>
    <t>崔志猛</t>
  </si>
  <si>
    <t>130427199211190716</t>
  </si>
  <si>
    <t>栗建龙</t>
  </si>
  <si>
    <t>130434199910083139</t>
  </si>
  <si>
    <t>沈铮</t>
  </si>
  <si>
    <t>130281199911172313</t>
  </si>
  <si>
    <t>刘乐</t>
  </si>
  <si>
    <t>13068119991229201x</t>
  </si>
  <si>
    <t>张旭</t>
  </si>
  <si>
    <t>131082198911235515</t>
  </si>
  <si>
    <t>邓来军</t>
  </si>
  <si>
    <t>370983197709014211</t>
  </si>
  <si>
    <t>宫树龙</t>
  </si>
  <si>
    <t>132532197608242157</t>
  </si>
  <si>
    <t>郑建明</t>
  </si>
  <si>
    <t>132532197309112117</t>
  </si>
  <si>
    <t>周冬冬</t>
  </si>
  <si>
    <t>131002198606013818</t>
  </si>
  <si>
    <t>冯祥</t>
  </si>
  <si>
    <t>140303199212220417</t>
  </si>
  <si>
    <t>李宏斌</t>
  </si>
  <si>
    <t>132624198512256212</t>
  </si>
  <si>
    <t>韩耀得</t>
  </si>
  <si>
    <t>411329199905244411</t>
  </si>
  <si>
    <t>宋亲民</t>
  </si>
  <si>
    <t>110223196606112719</t>
  </si>
  <si>
    <t>李树森</t>
  </si>
  <si>
    <t>130732198301262114</t>
  </si>
  <si>
    <t>吴善梅</t>
  </si>
  <si>
    <t>34012319840725856X</t>
  </si>
  <si>
    <t>李楠</t>
  </si>
  <si>
    <t>110103198603270314</t>
  </si>
  <si>
    <t>公积金基数</t>
  </si>
  <si>
    <t>公积金公司部分</t>
  </si>
  <si>
    <t>公积金个人部分</t>
  </si>
  <si>
    <t>公积金合计</t>
  </si>
  <si>
    <t>工资</t>
  </si>
  <si>
    <t>个税</t>
  </si>
  <si>
    <t>账户</t>
  </si>
  <si>
    <t>是否含补缴费用</t>
  </si>
  <si>
    <t>刘  柯</t>
  </si>
  <si>
    <t>合  计</t>
  </si>
  <si>
    <t>公司名称</t>
  </si>
  <si>
    <t>备注</t>
  </si>
  <si>
    <t>北京三汇能环科技发展有限公司</t>
  </si>
  <si>
    <t>北京农商银行</t>
  </si>
  <si>
    <t>北京芝麻物联科技有限公司</t>
  </si>
  <si>
    <t>招商银行</t>
  </si>
  <si>
    <t>北京荣辉洁源科技发展有限公司</t>
  </si>
  <si>
    <t>北京三汇冷暖设备有限公司</t>
  </si>
  <si>
    <t>北京银行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</si>
</sst>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  <numFmt numFmtId="178" formatCode="0.00_ "/>
    <numFmt numFmtId="179" formatCode="0.00_);[Red]\(0.00\)"/>
    <numFmt numFmtId="180" formatCode="0.00_);[Red]\(0.00\)"/>
    <numFmt numFmtId="181" formatCode="0.00_);[Red]\(0.00\)"/>
    <numFmt numFmtId="182" formatCode="0.00_);[Red]\(0.00\)"/>
    <numFmt numFmtId="183" formatCode="0.00_);[Red]\(0.00\)"/>
    <numFmt numFmtId="184" formatCode="0.00_);[Red]\(0.00\)"/>
    <numFmt numFmtId="185" formatCode="0.00_);[Red]\(0.00\)"/>
    <numFmt numFmtId="186" formatCode="0.00_);[Red]\(0.00\)"/>
    <numFmt numFmtId="187" formatCode="0.00_);[Red]\(0.00\)"/>
    <numFmt numFmtId="188" formatCode="0.00_);[Red]\(0.00\)"/>
  </numFmts>
  <fonts count="37">
    <font>
      <sz val="12"/>
      <name val="宋体"/>
      <charset val="134"/>
    </font>
    <font>
      <sz val="10"/>
      <name val="宋体"/>
      <charset val="134"/>
    </font>
    <font>
      <sz val="9"/>
      <name val="微软雅黑"/>
      <charset val="134"/>
    </font>
    <font>
      <b/>
      <sz val="9"/>
      <color theme="2"/>
      <name val="微软雅黑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Helv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9"/>
      <name val="Verdana"/>
      <charset val="134"/>
    </font>
    <font>
      <sz val="10"/>
      <name val="Geneva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9" fillId="0" borderId="0"/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0" fillId="14" borderId="7" applyNumberFormat="0" applyFont="0" applyAlignment="0" applyProtection="0">
      <alignment vertical="center"/>
    </xf>
    <xf numFmtId="0" fontId="1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0" borderId="0"/>
    <xf numFmtId="0" fontId="14" fillId="25" borderId="0" applyNumberFormat="0" applyBorder="0" applyAlignment="0" applyProtection="0">
      <alignment vertical="center"/>
    </xf>
    <xf numFmtId="0" fontId="31" fillId="0" borderId="0"/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/>
    <xf numFmtId="0" fontId="1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top"/>
    </xf>
    <xf numFmtId="0" fontId="30" fillId="0" borderId="0"/>
    <xf numFmtId="43" fontId="10" fillId="0" borderId="0" applyFont="0" applyFill="0" applyBorder="0" applyAlignment="0" applyProtection="0">
      <alignment vertical="center"/>
    </xf>
    <xf numFmtId="0" fontId="33" fillId="0" borderId="0"/>
    <xf numFmtId="0" fontId="31" fillId="0" borderId="0" applyNumberForma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43" fontId="3" fillId="5" borderId="1" xfId="9" applyFont="1" applyFill="1" applyBorder="1" applyAlignment="1">
      <alignment horizontal="center" vertical="center" wrapText="1"/>
    </xf>
    <xf numFmtId="9" fontId="0" fillId="0" borderId="0" xfId="0" applyNumberFormat="1"/>
    <xf numFmtId="0" fontId="0" fillId="6" borderId="0" xfId="0" applyFill="1"/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1" fillId="0" borderId="1" xfId="65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9" fontId="1" fillId="0" borderId="1" xfId="66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65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49" fontId="1" fillId="7" borderId="1" xfId="66" applyNumberFormat="1" applyFont="1" applyFill="1" applyBorder="1" applyAlignment="1">
      <alignment horizontal="left" vertical="center"/>
    </xf>
    <xf numFmtId="0" fontId="1" fillId="7" borderId="1" xfId="65" applyNumberFormat="1" applyFont="1" applyFill="1" applyBorder="1" applyAlignment="1">
      <alignment horizontal="left" vertical="center"/>
    </xf>
    <xf numFmtId="43" fontId="5" fillId="0" borderId="1" xfId="9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/>
    </xf>
    <xf numFmtId="176" fontId="1" fillId="0" borderId="1" xfId="0" applyNumberFormat="1" applyFont="1" applyFill="1" applyBorder="1" applyAlignment="1">
      <alignment horizontal="left"/>
    </xf>
    <xf numFmtId="176" fontId="1" fillId="7" borderId="1" xfId="0" applyNumberFormat="1" applyFont="1" applyFill="1" applyBorder="1" applyAlignment="1">
      <alignment horizontal="left"/>
    </xf>
    <xf numFmtId="176" fontId="1" fillId="7" borderId="1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/>
    </xf>
    <xf numFmtId="57" fontId="1" fillId="0" borderId="1" xfId="0" applyNumberFormat="1" applyFont="1" applyFill="1" applyBorder="1" applyAlignment="1">
      <alignment horizontal="left"/>
    </xf>
    <xf numFmtId="57" fontId="1" fillId="0" borderId="1" xfId="0" applyNumberFormat="1" applyFont="1" applyFill="1" applyBorder="1"/>
    <xf numFmtId="0" fontId="1" fillId="0" borderId="1" xfId="0" applyFont="1" applyFill="1" applyBorder="1"/>
    <xf numFmtId="177" fontId="1" fillId="0" borderId="4" xfId="0" applyNumberFormat="1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  <xf numFmtId="57" fontId="1" fillId="0" borderId="1" xfId="0" applyNumberFormat="1" applyFont="1" applyFill="1" applyBorder="1" applyAlignment="1">
      <alignment horizontal="left"/>
    </xf>
    <xf numFmtId="5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57" fontId="1" fillId="7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65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/>
    </xf>
    <xf numFmtId="176" fontId="1" fillId="2" borderId="1" xfId="0" applyNumberFormat="1" applyFont="1" applyFill="1" applyBorder="1" applyAlignment="1">
      <alignment horizontal="left"/>
    </xf>
    <xf numFmtId="0" fontId="1" fillId="8" borderId="1" xfId="65" applyNumberFormat="1" applyFont="1" applyFill="1" applyBorder="1" applyAlignment="1">
      <alignment horizontal="left" vertical="center"/>
    </xf>
    <xf numFmtId="176" fontId="1" fillId="8" borderId="1" xfId="0" applyNumberFormat="1" applyFont="1" applyFill="1" applyBorder="1" applyAlignment="1">
      <alignment horizontal="left"/>
    </xf>
    <xf numFmtId="57" fontId="1" fillId="2" borderId="1" xfId="0" applyNumberFormat="1" applyFont="1" applyFill="1" applyBorder="1" applyAlignment="1">
      <alignment horizontal="left" vertical="center"/>
    </xf>
    <xf numFmtId="57" fontId="1" fillId="0" borderId="1" xfId="0" applyNumberFormat="1" applyFont="1" applyFill="1" applyBorder="1" applyAlignment="1">
      <alignment horizontal="left" vertical="center"/>
    </xf>
    <xf numFmtId="57" fontId="1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 quotePrefix="1">
      <alignment horizontal="left"/>
    </xf>
    <xf numFmtId="0" fontId="6" fillId="0" borderId="1" xfId="0" applyFont="1" applyFill="1" applyBorder="1" applyAlignment="1" quotePrefix="1">
      <alignment horizontal="left"/>
    </xf>
    <xf numFmtId="0" fontId="8" fillId="0" borderId="1" xfId="0" applyFont="1" applyFill="1" applyBorder="1" applyAlignment="1" quotePrefix="1">
      <alignment horizontal="left" vertical="center"/>
    </xf>
    <xf numFmtId="0" fontId="1" fillId="2" borderId="1" xfId="0" applyFont="1" applyFill="1" applyBorder="1" applyAlignment="1" quotePrefix="1">
      <alignment horizontal="left"/>
    </xf>
    <xf numFmtId="0" fontId="1" fillId="2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/>
    </xf>
    <xf numFmtId="0" fontId="1" fillId="7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center" vertical="center"/>
    </xf>
  </cellXfs>
  <cellStyles count="84">
    <cellStyle name="常规" xfId="0" builtinId="0"/>
    <cellStyle name="_北京市社会保险费补缴明细表（表四）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?鹎%U龡&amp;H?_x0008_e_x0005_9_x0006__x0007__x0001__x0001_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?鹎%U龡&amp;H?_x0008_e_x0005_9_x0006__x0007__x0001__x0001_ 2 2" xfId="57"/>
    <cellStyle name="强调文字颜色 6" xfId="58" builtinId="49"/>
    <cellStyle name="常规 2 3" xfId="59"/>
    <cellStyle name="40% - 强调文字颜色 6" xfId="60" builtinId="51"/>
    <cellStyle name="60% - 强调文字颜色 6" xfId="61" builtinId="52"/>
    <cellStyle name="?鹎%U龡&amp;H?_x0008_e_x0005_9_x0006__x0007__x0001__x0001_ 2" xfId="62"/>
    <cellStyle name="?鹎%U龡&amp;H?_x0008_e_x0005_9_x0006__x0007__x0001__x0001_ 3" xfId="63"/>
    <cellStyle name="0,0_x000d__x000a_NA_x000d__x000a_ 2" xfId="64"/>
    <cellStyle name="常规 2" xfId="65"/>
    <cellStyle name="常规 2 4" xfId="66"/>
    <cellStyle name="常规 3" xfId="67"/>
    <cellStyle name="常规 4" xfId="68"/>
    <cellStyle name="常规 4 2" xfId="69"/>
    <cellStyle name="常规 4 3" xfId="70"/>
    <cellStyle name="常规 5" xfId="71"/>
    <cellStyle name="常规 5 3" xfId="72"/>
    <cellStyle name="常规 5 4" xfId="73"/>
    <cellStyle name="常规 6 2" xfId="74"/>
    <cellStyle name="常规 6 2 2" xfId="75"/>
    <cellStyle name="常规 6 3" xfId="76"/>
    <cellStyle name="常规 6 3 2" xfId="77"/>
    <cellStyle name="常规 6 4" xfId="78"/>
    <cellStyle name="常规 7" xfId="79"/>
    <cellStyle name="常规 8" xfId="80"/>
    <cellStyle name="千位分隔 2" xfId="81"/>
    <cellStyle name="样式 1" xfId="82"/>
    <cellStyle name="样式 1 2" xfId="83"/>
  </cellStyles>
  <dxfs count="1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78" formatCode="0.00_ "/>
    </dxf>
    <dxf>
      <numFmt numFmtId="178" formatCode="0.00_ "/>
    </dxf>
    <dxf>
      <alignment horizontal="left"/>
    </dxf>
    <dxf>
      <alignment horizontal="center"/>
    </dxf>
    <dxf>
      <alignment horizontal="left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</dxfs>
  <tableStyles count="0" defaultTableStyle="TableStyleMedium9" defaultPivotStyle="PivotStyleLight16"/>
  <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HR5-&#34218;&#37228;&#31119;&#21033;\03-&#31038;&#20445;\202106&#31038;&#20445;&#32564;&#36153;&#22522;&#25968;&#35843;&#25972;\20210628110106017598 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87.6780902778" refreshedBy="86186" recordCount="41">
  <cacheSource type="worksheet">
    <worksheetSource ref="A1:X33" sheet="社保缴纳明细"/>
  </cacheSource>
  <cacheFields count="24">
    <cacheField name="序_x000a_号" numFmtId="0">
      <sharedItems containsSemiMixedTypes="0" containsString="0" containsNumber="1" containsInteger="1" minValue="0" maxValue="41" count="4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</sharedItems>
    </cacheField>
    <cacheField name="单位" numFmtId="0">
      <sharedItems count="4">
        <s v="三汇能环"/>
        <s v="荣辉洁源"/>
        <s v="芝麻物联"/>
        <s v="三汇冷暖"/>
      </sharedItems>
    </cacheField>
    <cacheField name="姓名" numFmtId="0">
      <sharedItems count="41">
        <s v="徐利斌"/>
        <s v="陈国清"/>
        <s v="魏爱兵"/>
        <s v="申瑛"/>
        <s v="赵辉"/>
        <s v="向丹丹"/>
        <s v="赵沙"/>
        <s v="赵兴华"/>
        <s v="王梦飞"/>
        <s v="刘述珍"/>
        <s v="李伟朋"/>
        <s v="刘柯"/>
        <s v="张立昆"/>
        <s v="李军"/>
        <s v="刘乐"/>
        <s v="孔小贺"/>
        <s v="孙方涛"/>
        <s v="沈铮"/>
        <s v="郭佩港"/>
        <s v="崔志猛"/>
        <s v="万树壮"/>
        <s v="邱维保"/>
        <s v="栗建龙"/>
        <s v="李君"/>
        <s v="赵坤宇"/>
        <s v="张旭"/>
        <s v="邓来军"/>
        <s v="宫树龙"/>
        <s v="石亚辉"/>
        <s v="李树森"/>
        <s v="郑建明"/>
        <s v="胡冬杰"/>
        <s v="程亚东"/>
        <s v="袁宝林"/>
        <s v="王久利"/>
        <s v="张建平"/>
        <s v="王晓兵"/>
        <s v="杜凯"/>
        <s v="肖丽琴"/>
        <s v="徐禹烨"/>
        <s v="许云付"/>
      </sharedItems>
    </cacheField>
    <cacheField name="部门" numFmtId="0">
      <sharedItems count="9">
        <s v="总经理室"/>
        <s v="销售部"/>
        <s v="信息部"/>
        <s v="客服部"/>
        <s v="商贸部"/>
        <s v="财务部"/>
        <s v="工程部"/>
        <s v="人资部"/>
        <s v="运维部"/>
      </sharedItems>
    </cacheField>
    <cacheField name="项目" numFmtId="0">
      <sharedItems containsBlank="1" count="9">
        <m/>
        <s v="沁园公寓"/>
        <s v="东方梅地亚"/>
        <s v="和乔丽晶"/>
        <s v="兴安嘉业"/>
        <s v="宇达创意中心"/>
        <s v="荣宝斋"/>
        <s v="富地广场"/>
        <s v="环境大厦"/>
      </sharedItems>
    </cacheField>
    <cacheField name="身份证号" numFmtId="0">
      <sharedItems count="41">
        <s v="432503197103130052"/>
        <s v="360502197404181658"/>
        <s v="372501197403192053"/>
        <s v="430521199307196854"/>
        <s v="110224198601021813"/>
        <s v="430703198612021122"/>
        <s v="110108198603013125"/>
        <s v="130433198607190328"/>
        <s v="131002198901011882"/>
        <s v="43252219731110582X"/>
        <s v="411627199212156455"/>
        <s v="432522197611196401"/>
        <s v="130623198601080310"/>
        <s v="132424197710164217"/>
        <s v="13068119991229201x"/>
        <s v="130582198703212059"/>
        <s v="230421198108242419"/>
        <s v="130281199911172313"/>
        <s v="432522199709185814"/>
        <s v="130427199211190716"/>
        <s v="130823199507096215"/>
        <s v="432302196409273716"/>
        <s v="130434199910083139"/>
        <s v="431202198109180457"/>
        <s v="130929200002024653"/>
        <s v="131082198911235515"/>
        <s v="370983197709014211"/>
        <s v="132532197608242157"/>
        <s v="132401196603306313"/>
        <s v="130732198301262114"/>
        <s v="132532197309112117"/>
        <s v="130623198606032414"/>
        <s v="210922196601121216"/>
        <s v="130732199506132115"/>
        <s v="132429197009253811"/>
        <s v="130731196609210059"/>
        <s v="410521198705228075"/>
        <s v="132532197504221212"/>
        <s v="362428198310203224"/>
        <s v="432501200210260022"/>
        <s v="430422196803031239"/>
      </sharedItems>
    </cacheField>
    <cacheField name="户口性质" numFmtId="0">
      <sharedItems count="5">
        <s v="外埠城镇职工"/>
        <s v="本市农村劳动力"/>
        <s v="本市城镇职工"/>
        <s v="外埠农村劳动力"/>
        <s v="外埠农村劳动力  "/>
      </sharedItems>
    </cacheField>
    <cacheField name="申报基数" numFmtId="0">
      <sharedItems containsSemiMixedTypes="0" containsString="0" containsNumber="1" containsInteger="1" minValue="0" maxValue="10000" count="10">
        <n v="9000"/>
        <n v="3600"/>
        <n v="5000"/>
        <n v="4500"/>
        <n v="3500"/>
        <n v="6000"/>
        <n v="5400"/>
        <n v="4000"/>
        <n v="10000"/>
        <n v="5500"/>
      </sharedItems>
    </cacheField>
    <cacheField name="养老、失业基数" numFmtId="0">
      <sharedItems containsSemiMixedTypes="0" containsString="0" containsNumber="1" containsInteger="1" minValue="0" maxValue="10000" count="6">
        <n v="9000"/>
        <n v="5360"/>
        <n v="6000"/>
        <n v="5400"/>
        <n v="10000"/>
        <n v="5500"/>
      </sharedItems>
    </cacheField>
    <cacheField name="工伤基数" numFmtId="0">
      <sharedItems containsSemiMixedTypes="0" containsString="0" containsNumber="1" containsInteger="1" minValue="0" maxValue="10000" count="6">
        <n v="9000"/>
        <n v="5360"/>
        <n v="6000"/>
        <n v="5400"/>
        <n v="10000"/>
        <n v="5500"/>
      </sharedItems>
    </cacheField>
    <cacheField name="医疗、生育基数" numFmtId="0">
      <sharedItems containsSemiMixedTypes="0" containsString="0" containsNumber="1" containsInteger="1" minValue="0" maxValue="10000" count="6">
        <n v="9000"/>
        <n v="5360"/>
        <n v="6000"/>
        <n v="5400"/>
        <n v="10000"/>
        <n v="5500"/>
      </sharedItems>
    </cacheField>
    <cacheField name="养老公司" numFmtId="188">
      <sharedItems containsSemiMixedTypes="0" containsString="0" containsNumber="1" minValue="0" maxValue="1600" count="6">
        <n v="1440"/>
        <n v="857.6"/>
        <n v="960"/>
        <n v="864"/>
        <n v="1600"/>
        <n v="880"/>
      </sharedItems>
    </cacheField>
    <cacheField name="失业公司" numFmtId="188">
      <sharedItems containsSemiMixedTypes="0" containsString="0" containsNumber="1" minValue="0" maxValue="50" count="6">
        <n v="45"/>
        <n v="26.8"/>
        <n v="30"/>
        <n v="27"/>
        <n v="50"/>
        <n v="27.5"/>
      </sharedItems>
    </cacheField>
    <cacheField name="工伤公司" numFmtId="188">
      <sharedItems containsSemiMixedTypes="0" containsString="0" containsNumber="1" minValue="0" maxValue="58.96" count="7">
        <n v="36"/>
        <n v="21.44"/>
        <n v="24"/>
        <n v="21.6"/>
        <n v="40"/>
        <n v="22"/>
        <n v="58.96"/>
      </sharedItems>
    </cacheField>
    <cacheField name="医疗（含生育）" numFmtId="188">
      <sharedItems containsSemiMixedTypes="0" containsString="0" containsNumber="1" minValue="0" maxValue="980" count="6">
        <n v="882"/>
        <n v="525.28"/>
        <n v="588"/>
        <n v="529.2"/>
        <n v="980"/>
        <n v="539"/>
      </sharedItems>
    </cacheField>
    <cacheField name="公司部分合计" numFmtId="188">
      <sharedItems containsSemiMixedTypes="0" containsString="0" containsNumber="1" minValue="0" maxValue="2670" count="7">
        <n v="2403"/>
        <n v="1431.12"/>
        <n v="1602"/>
        <n v="1441.8"/>
        <n v="2670"/>
        <n v="1468.5"/>
        <n v="1468.64"/>
      </sharedItems>
    </cacheField>
    <cacheField name="养老个人" numFmtId="188">
      <sharedItems containsSemiMixedTypes="0" containsString="0" containsNumber="1" minValue="0" maxValue="800" count="6">
        <n v="720"/>
        <n v="428.8"/>
        <n v="480"/>
        <n v="432"/>
        <n v="800"/>
        <n v="440"/>
      </sharedItems>
    </cacheField>
    <cacheField name="医疗个人" numFmtId="188">
      <sharedItems containsSemiMixedTypes="0" containsString="0" containsNumber="1" minValue="0" maxValue="203" count="6">
        <n v="183"/>
        <n v="110.2"/>
        <n v="123"/>
        <n v="111"/>
        <n v="203"/>
        <n v="113"/>
      </sharedItems>
    </cacheField>
    <cacheField name="失业个人" numFmtId="188">
      <sharedItems containsSemiMixedTypes="0" containsString="0" containsNumber="1" minValue="0" maxValue="50" count="6">
        <n v="45"/>
        <n v="26.8"/>
        <n v="30"/>
        <n v="27"/>
        <n v="50"/>
        <n v="27.5"/>
      </sharedItems>
    </cacheField>
    <cacheField name="个人部分合计" numFmtId="188">
      <sharedItems containsSemiMixedTypes="0" containsString="0" containsNumber="1" minValue="0" maxValue="1053" count="6">
        <n v="948"/>
        <n v="565.8"/>
        <n v="633"/>
        <n v="570"/>
        <n v="1053"/>
        <n v="580.5"/>
      </sharedItems>
    </cacheField>
    <cacheField name="缴费合计" numFmtId="188">
      <sharedItems containsSemiMixedTypes="0" containsString="0" containsNumber="1" minValue="0" maxValue="3723" count="7">
        <n v="3351"/>
        <n v="1996.92"/>
        <n v="2235"/>
        <n v="2011.8"/>
        <n v="3723"/>
        <n v="2049"/>
        <n v="2034.44"/>
      </sharedItems>
    </cacheField>
    <cacheField name="增员月份" numFmtId="0">
      <sharedItems containsString="0" containsBlank="1" containsNonDate="0" containsDate="1" minDate="2021-08-01T00:00:00" maxDate="2021-11-02T00:00:00" count="5">
        <m/>
        <d v="2021-09-01T00:00:00"/>
        <d v="2021-10-02T00:00:00"/>
        <d v="2021-11-02T00:00:00"/>
        <d v="2021-08-01T00:00:00"/>
      </sharedItems>
    </cacheField>
    <cacheField name="减员月份" numFmtId="0">
      <sharedItems containsString="0" containsBlank="1" containsNonDate="0" count="1">
        <m/>
      </sharedItems>
    </cacheField>
    <cacheField name="是否增员成功" numFmtId="0">
      <sharedItems count="1">
        <s v="是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88.6206597222" refreshedBy="86186" recordCount="42">
  <cacheSource type="worksheet">
    <worksheetSource ref="A1:X1048576" sheet="社保缴纳明细"/>
  </cacheSource>
  <cacheFields count="24">
    <cacheField name="序_x000a_号" numFmtId="0">
      <sharedItems containsString="0" containsBlank="1" containsNumber="1" containsInteger="1" minValue="0" maxValue="41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m/>
      </sharedItems>
    </cacheField>
    <cacheField name="单位" numFmtId="0">
      <sharedItems containsBlank="1" count="5">
        <s v="三汇能环"/>
        <s v="荣辉洁源"/>
        <s v="芝麻物联"/>
        <s v="三汇冷暖"/>
        <m/>
      </sharedItems>
    </cacheField>
    <cacheField name="姓名" numFmtId="0">
      <sharedItems containsBlank="1" count="42">
        <s v="徐利斌"/>
        <s v="陈国清"/>
        <s v="魏爱兵"/>
        <s v="申瑛"/>
        <s v="赵辉"/>
        <s v="向丹丹"/>
        <s v="赵沙"/>
        <s v="赵兴华"/>
        <s v="王梦飞"/>
        <s v="刘述珍"/>
        <s v="李伟朋"/>
        <s v="刘柯"/>
        <s v="张立昆"/>
        <s v="李军"/>
        <s v="刘乐"/>
        <s v="孔小贺"/>
        <s v="孙方涛"/>
        <s v="沈铮"/>
        <s v="郭佩港"/>
        <s v="崔志猛"/>
        <s v="万树壮"/>
        <s v="邱维保"/>
        <s v="栗建龙"/>
        <s v="李君"/>
        <s v="赵坤宇"/>
        <s v="张旭"/>
        <s v="邓来军"/>
        <s v="宫树龙"/>
        <s v="石亚辉"/>
        <s v="李树森"/>
        <s v="郑建明"/>
        <s v="胡冬杰"/>
        <s v="程亚东"/>
        <s v="袁宝林"/>
        <s v="王久利"/>
        <s v="张建平"/>
        <s v="王晓兵"/>
        <s v="杜凯"/>
        <s v="肖丽琴"/>
        <s v="徐禹烨"/>
        <s v="许云付"/>
        <m/>
      </sharedItems>
    </cacheField>
    <cacheField name="部门" numFmtId="0">
      <sharedItems containsBlank="1" count="10">
        <s v="总经理室"/>
        <s v="销售部"/>
        <s v="信息部"/>
        <s v="客服部"/>
        <s v="商贸部"/>
        <s v="财务部"/>
        <s v="工程部"/>
        <s v="人资部"/>
        <s v="运维部"/>
        <m/>
      </sharedItems>
    </cacheField>
    <cacheField name="项目" numFmtId="0">
      <sharedItems containsBlank="1" count="9">
        <m/>
        <s v="沁园公寓"/>
        <s v="东方梅地亚"/>
        <s v="和乔丽晶"/>
        <s v="兴安嘉业"/>
        <s v="宇达创意中心"/>
        <s v="荣宝斋"/>
        <s v="富地广场"/>
        <s v="环境大厦"/>
      </sharedItems>
    </cacheField>
    <cacheField name="身份证号" numFmtId="0">
      <sharedItems containsBlank="1" count="42">
        <s v="432503197103130052"/>
        <s v="360502197404181658"/>
        <s v="372501197403192053"/>
        <s v="430521199307196854"/>
        <s v="110224198601021813"/>
        <s v="430703198612021122"/>
        <s v="110108198603013125"/>
        <s v="130433198607190328"/>
        <s v="131002198901011882"/>
        <s v="43252219731110582X"/>
        <s v="411627199212156455"/>
        <s v="432522197611196401"/>
        <s v="130623198601080310"/>
        <s v="132424197710164217"/>
        <s v="13068119991229201x"/>
        <s v="130582198703212059"/>
        <s v="230421198108242419"/>
        <s v="130281199911172313"/>
        <s v="432522199709185814"/>
        <s v="130427199211190716"/>
        <s v="130823199507096215"/>
        <s v="432302196409273716"/>
        <s v="130434199910083139"/>
        <s v="431202198109180457"/>
        <s v="130929200002024653"/>
        <s v="131082198911235515"/>
        <s v="370983197709014211"/>
        <s v="132532197608242157"/>
        <s v="132401196603306313"/>
        <s v="130732198301262114"/>
        <s v="132532197309112117"/>
        <s v="130623198606032414"/>
        <s v="210922196601121216"/>
        <s v="130732199506132115"/>
        <s v="132429197009253811"/>
        <s v="130731196609210059"/>
        <s v="410521198705228075"/>
        <s v="132532197504221212"/>
        <s v="362428198310203224"/>
        <s v="432501200210260022"/>
        <s v="430422196803031239"/>
        <m/>
      </sharedItems>
    </cacheField>
    <cacheField name="户口性质" numFmtId="0">
      <sharedItems containsBlank="1" count="6">
        <s v="外埠城镇职工"/>
        <s v="本市农村劳动力"/>
        <s v="本市城镇职工"/>
        <s v="外埠农村劳动力"/>
        <s v="外埠农村劳动力  "/>
        <m/>
      </sharedItems>
    </cacheField>
    <cacheField name="申报基数" numFmtId="0">
      <sharedItems containsString="0" containsBlank="1" containsNumber="1" containsInteger="1" minValue="0" maxValue="10000" count="11">
        <n v="9000"/>
        <n v="3600"/>
        <n v="5000"/>
        <n v="4500"/>
        <n v="3500"/>
        <n v="6000"/>
        <n v="5400"/>
        <n v="4000"/>
        <n v="10000"/>
        <n v="5500"/>
        <m/>
      </sharedItems>
    </cacheField>
    <cacheField name="养老、失业基数" numFmtId="0">
      <sharedItems containsString="0" containsBlank="1" containsNumber="1" containsInteger="1" minValue="0" maxValue="10000" count="7">
        <n v="9000"/>
        <n v="5360"/>
        <n v="6000"/>
        <n v="5400"/>
        <n v="10000"/>
        <n v="5500"/>
        <m/>
      </sharedItems>
    </cacheField>
    <cacheField name="工伤基数" numFmtId="0">
      <sharedItems containsString="0" containsBlank="1" containsNumber="1" containsInteger="1" minValue="0" maxValue="10000" count="7">
        <n v="9000"/>
        <n v="5360"/>
        <n v="6000"/>
        <n v="5400"/>
        <n v="10000"/>
        <n v="5500"/>
        <m/>
      </sharedItems>
    </cacheField>
    <cacheField name="医疗、生育基数" numFmtId="0">
      <sharedItems containsString="0" containsBlank="1" containsNumber="1" containsInteger="1" minValue="0" maxValue="10000" count="7">
        <n v="9000"/>
        <n v="5360"/>
        <n v="6000"/>
        <n v="5400"/>
        <n v="10000"/>
        <n v="5500"/>
        <m/>
      </sharedItems>
    </cacheField>
    <cacheField name="养老公司" numFmtId="0">
      <sharedItems containsString="0" containsBlank="1" containsNumber="1" minValue="0" maxValue="1600" count="7">
        <n v="1440"/>
        <n v="857.6"/>
        <n v="960"/>
        <n v="864"/>
        <n v="1600"/>
        <n v="880"/>
        <m/>
      </sharedItems>
    </cacheField>
    <cacheField name="失业公司" numFmtId="0">
      <sharedItems containsString="0" containsBlank="1" containsNumber="1" minValue="0" maxValue="50" count="7">
        <n v="45"/>
        <n v="26.8"/>
        <n v="30"/>
        <n v="27"/>
        <n v="50"/>
        <n v="27.5"/>
        <m/>
      </sharedItems>
    </cacheField>
    <cacheField name="工伤公司" numFmtId="0">
      <sharedItems containsString="0" containsBlank="1" containsNumber="1" minValue="0" maxValue="58.96" count="8">
        <n v="36"/>
        <n v="21.44"/>
        <n v="24"/>
        <n v="21.6"/>
        <n v="40"/>
        <n v="22"/>
        <n v="58.96"/>
        <m/>
      </sharedItems>
    </cacheField>
    <cacheField name="医疗（含生育）" numFmtId="0">
      <sharedItems containsString="0" containsBlank="1" containsNumber="1" minValue="0" maxValue="980" count="7">
        <n v="882"/>
        <n v="525.28"/>
        <n v="588"/>
        <n v="529.2"/>
        <n v="980"/>
        <n v="539"/>
        <m/>
      </sharedItems>
    </cacheField>
    <cacheField name="公司部分合计" numFmtId="0">
      <sharedItems containsString="0" containsBlank="1" containsNumber="1" minValue="0" maxValue="2670" count="8">
        <n v="2403"/>
        <n v="1431.12"/>
        <n v="1602"/>
        <n v="1441.8"/>
        <n v="2670"/>
        <n v="1468.5"/>
        <n v="1468.64"/>
        <m/>
      </sharedItems>
    </cacheField>
    <cacheField name="养老个人" numFmtId="0">
      <sharedItems containsString="0" containsBlank="1" containsNumber="1" minValue="0" maxValue="800" count="7">
        <n v="720"/>
        <n v="428.8"/>
        <n v="480"/>
        <n v="432"/>
        <n v="800"/>
        <n v="440"/>
        <m/>
      </sharedItems>
    </cacheField>
    <cacheField name="医疗个人" numFmtId="0">
      <sharedItems containsString="0" containsBlank="1" containsNumber="1" minValue="0" maxValue="203" count="7">
        <n v="183"/>
        <n v="110.2"/>
        <n v="123"/>
        <n v="111"/>
        <n v="203"/>
        <n v="113"/>
        <m/>
      </sharedItems>
    </cacheField>
    <cacheField name="失业个人" numFmtId="0">
      <sharedItems containsString="0" containsBlank="1" containsNumber="1" minValue="0" maxValue="50" count="7">
        <n v="45"/>
        <n v="26.8"/>
        <n v="30"/>
        <n v="27"/>
        <n v="50"/>
        <n v="27.5"/>
        <m/>
      </sharedItems>
    </cacheField>
    <cacheField name="个人部分合计" numFmtId="0">
      <sharedItems containsString="0" containsBlank="1" containsNumber="1" minValue="0" maxValue="1053" count="7">
        <n v="948"/>
        <n v="565.8"/>
        <n v="633"/>
        <n v="570"/>
        <n v="1053"/>
        <n v="580.5"/>
        <m/>
      </sharedItems>
    </cacheField>
    <cacheField name="缴费合计" numFmtId="0">
      <sharedItems containsString="0" containsBlank="1" containsNumber="1" minValue="0" maxValue="3723" count="8">
        <n v="3351"/>
        <n v="1996.92"/>
        <n v="2235"/>
        <n v="2011.8"/>
        <n v="3723"/>
        <n v="2049"/>
        <n v="2034.44"/>
        <m/>
      </sharedItems>
    </cacheField>
    <cacheField name="增员月份" numFmtId="0">
      <sharedItems containsString="0" containsBlank="1" containsNonDate="0" containsDate="1" minDate="2021-08-01T00:00:00" maxDate="2021-11-02T00:00:00" count="5">
        <m/>
        <d v="2021-09-01T00:00:00"/>
        <d v="2021-10-02T00:00:00"/>
        <d v="2021-11-02T00:00:00"/>
        <d v="2021-08-01T00:00:00"/>
      </sharedItems>
    </cacheField>
    <cacheField name="减员月份" numFmtId="0">
      <sharedItems containsString="0" containsBlank="1" containsNonDate="0" count="1">
        <m/>
      </sharedItems>
    </cacheField>
    <cacheField name="是否增员成功" numFmtId="0">
      <sharedItems containsBlank="1" count="2">
        <s v="是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1"/>
    <x v="1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2"/>
    <x v="0"/>
    <x v="2"/>
    <x v="1"/>
    <x v="0"/>
    <x v="2"/>
    <x v="0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3"/>
    <x v="0"/>
    <x v="3"/>
    <x v="2"/>
    <x v="0"/>
    <x v="3"/>
    <x v="0"/>
    <x v="2"/>
    <x v="1"/>
    <x v="1"/>
    <x v="1"/>
    <x v="1"/>
    <x v="1"/>
    <x v="1"/>
    <x v="1"/>
    <x v="1"/>
    <x v="1"/>
    <x v="1"/>
    <x v="1"/>
    <x v="1"/>
    <x v="1"/>
    <x v="0"/>
    <x v="0"/>
    <x v="0"/>
  </r>
  <r>
    <x v="4"/>
    <x v="0"/>
    <x v="4"/>
    <x v="2"/>
    <x v="0"/>
    <x v="4"/>
    <x v="2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5"/>
    <x v="0"/>
    <x v="5"/>
    <x v="3"/>
    <x v="0"/>
    <x v="5"/>
    <x v="3"/>
    <x v="3"/>
    <x v="1"/>
    <x v="1"/>
    <x v="1"/>
    <x v="1"/>
    <x v="1"/>
    <x v="1"/>
    <x v="1"/>
    <x v="1"/>
    <x v="1"/>
    <x v="1"/>
    <x v="1"/>
    <x v="1"/>
    <x v="1"/>
    <x v="0"/>
    <x v="0"/>
    <x v="0"/>
  </r>
  <r>
    <x v="6"/>
    <x v="0"/>
    <x v="6"/>
    <x v="3"/>
    <x v="0"/>
    <x v="6"/>
    <x v="2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7"/>
    <x v="0"/>
    <x v="7"/>
    <x v="3"/>
    <x v="0"/>
    <x v="7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8"/>
    <x v="0"/>
    <x v="8"/>
    <x v="3"/>
    <x v="0"/>
    <x v="8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9"/>
    <x v="0"/>
    <x v="9"/>
    <x v="4"/>
    <x v="0"/>
    <x v="9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0"/>
    <x v="0"/>
    <x v="10"/>
    <x v="5"/>
    <x v="0"/>
    <x v="10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1"/>
    <x v="0"/>
    <x v="11"/>
    <x v="5"/>
    <x v="0"/>
    <x v="11"/>
    <x v="0"/>
    <x v="5"/>
    <x v="2"/>
    <x v="2"/>
    <x v="2"/>
    <x v="2"/>
    <x v="2"/>
    <x v="2"/>
    <x v="2"/>
    <x v="2"/>
    <x v="2"/>
    <x v="2"/>
    <x v="2"/>
    <x v="2"/>
    <x v="2"/>
    <x v="0"/>
    <x v="0"/>
    <x v="0"/>
  </r>
  <r>
    <x v="12"/>
    <x v="0"/>
    <x v="12"/>
    <x v="6"/>
    <x v="0"/>
    <x v="12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3"/>
    <x v="0"/>
    <x v="13"/>
    <x v="6"/>
    <x v="0"/>
    <x v="13"/>
    <x v="3"/>
    <x v="6"/>
    <x v="3"/>
    <x v="3"/>
    <x v="3"/>
    <x v="3"/>
    <x v="3"/>
    <x v="3"/>
    <x v="3"/>
    <x v="3"/>
    <x v="3"/>
    <x v="3"/>
    <x v="3"/>
    <x v="3"/>
    <x v="3"/>
    <x v="0"/>
    <x v="0"/>
    <x v="0"/>
  </r>
  <r>
    <x v="14"/>
    <x v="0"/>
    <x v="14"/>
    <x v="6"/>
    <x v="0"/>
    <x v="14"/>
    <x v="3"/>
    <x v="7"/>
    <x v="1"/>
    <x v="1"/>
    <x v="1"/>
    <x v="1"/>
    <x v="1"/>
    <x v="1"/>
    <x v="1"/>
    <x v="1"/>
    <x v="1"/>
    <x v="1"/>
    <x v="1"/>
    <x v="1"/>
    <x v="1"/>
    <x v="1"/>
    <x v="0"/>
    <x v="0"/>
  </r>
  <r>
    <x v="15"/>
    <x v="0"/>
    <x v="15"/>
    <x v="6"/>
    <x v="0"/>
    <x v="15"/>
    <x v="0"/>
    <x v="2"/>
    <x v="1"/>
    <x v="1"/>
    <x v="1"/>
    <x v="1"/>
    <x v="1"/>
    <x v="1"/>
    <x v="1"/>
    <x v="1"/>
    <x v="1"/>
    <x v="1"/>
    <x v="1"/>
    <x v="1"/>
    <x v="1"/>
    <x v="2"/>
    <x v="0"/>
    <x v="0"/>
  </r>
  <r>
    <x v="16"/>
    <x v="0"/>
    <x v="16"/>
    <x v="7"/>
    <x v="0"/>
    <x v="16"/>
    <x v="3"/>
    <x v="8"/>
    <x v="4"/>
    <x v="4"/>
    <x v="4"/>
    <x v="4"/>
    <x v="4"/>
    <x v="4"/>
    <x v="4"/>
    <x v="4"/>
    <x v="4"/>
    <x v="4"/>
    <x v="4"/>
    <x v="4"/>
    <x v="4"/>
    <x v="0"/>
    <x v="0"/>
    <x v="0"/>
  </r>
  <r>
    <x v="17"/>
    <x v="0"/>
    <x v="17"/>
    <x v="7"/>
    <x v="0"/>
    <x v="17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8"/>
    <x v="0"/>
    <x v="18"/>
    <x v="8"/>
    <x v="0"/>
    <x v="18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9"/>
    <x v="0"/>
    <x v="19"/>
    <x v="8"/>
    <x v="0"/>
    <x v="19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0"/>
    <x v="0"/>
    <x v="20"/>
    <x v="8"/>
    <x v="0"/>
    <x v="20"/>
    <x v="3"/>
    <x v="7"/>
    <x v="1"/>
    <x v="1"/>
    <x v="1"/>
    <x v="1"/>
    <x v="1"/>
    <x v="1"/>
    <x v="1"/>
    <x v="1"/>
    <x v="1"/>
    <x v="1"/>
    <x v="1"/>
    <x v="1"/>
    <x v="1"/>
    <x v="0"/>
    <x v="0"/>
    <x v="0"/>
  </r>
  <r>
    <x v="21"/>
    <x v="0"/>
    <x v="21"/>
    <x v="8"/>
    <x v="0"/>
    <x v="21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2"/>
    <x v="0"/>
    <x v="22"/>
    <x v="8"/>
    <x v="0"/>
    <x v="22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3"/>
    <x v="0"/>
    <x v="23"/>
    <x v="8"/>
    <x v="0"/>
    <x v="23"/>
    <x v="0"/>
    <x v="9"/>
    <x v="5"/>
    <x v="5"/>
    <x v="5"/>
    <x v="5"/>
    <x v="5"/>
    <x v="5"/>
    <x v="5"/>
    <x v="5"/>
    <x v="5"/>
    <x v="5"/>
    <x v="5"/>
    <x v="5"/>
    <x v="5"/>
    <x v="0"/>
    <x v="0"/>
    <x v="0"/>
  </r>
  <r>
    <x v="24"/>
    <x v="0"/>
    <x v="24"/>
    <x v="8"/>
    <x v="0"/>
    <x v="24"/>
    <x v="3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25"/>
    <x v="0"/>
    <x v="25"/>
    <x v="8"/>
    <x v="1"/>
    <x v="25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6"/>
    <x v="1"/>
    <x v="26"/>
    <x v="8"/>
    <x v="2"/>
    <x v="26"/>
    <x v="4"/>
    <x v="2"/>
    <x v="1"/>
    <x v="1"/>
    <x v="1"/>
    <x v="1"/>
    <x v="1"/>
    <x v="6"/>
    <x v="1"/>
    <x v="6"/>
    <x v="1"/>
    <x v="1"/>
    <x v="1"/>
    <x v="1"/>
    <x v="6"/>
    <x v="3"/>
    <x v="0"/>
    <x v="0"/>
  </r>
  <r>
    <x v="27"/>
    <x v="1"/>
    <x v="27"/>
    <x v="8"/>
    <x v="2"/>
    <x v="27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28"/>
    <x v="1"/>
    <x v="28"/>
    <x v="8"/>
    <x v="2"/>
    <x v="28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29"/>
    <x v="1"/>
    <x v="29"/>
    <x v="8"/>
    <x v="2"/>
    <x v="29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0"/>
    <x v="1"/>
    <x v="30"/>
    <x v="8"/>
    <x v="2"/>
    <x v="30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1"/>
    <x v="1"/>
    <x v="31"/>
    <x v="8"/>
    <x v="2"/>
    <x v="31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32"/>
    <x v="1"/>
    <x v="32"/>
    <x v="8"/>
    <x v="3"/>
    <x v="32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33"/>
    <x v="1"/>
    <x v="33"/>
    <x v="8"/>
    <x v="1"/>
    <x v="33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4"/>
    <x v="1"/>
    <x v="34"/>
    <x v="8"/>
    <x v="4"/>
    <x v="34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5"/>
    <x v="1"/>
    <x v="35"/>
    <x v="8"/>
    <x v="5"/>
    <x v="35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6"/>
    <x v="1"/>
    <x v="36"/>
    <x v="8"/>
    <x v="6"/>
    <x v="36"/>
    <x v="3"/>
    <x v="1"/>
    <x v="1"/>
    <x v="1"/>
    <x v="1"/>
    <x v="1"/>
    <x v="1"/>
    <x v="6"/>
    <x v="1"/>
    <x v="6"/>
    <x v="1"/>
    <x v="1"/>
    <x v="1"/>
    <x v="1"/>
    <x v="6"/>
    <x v="2"/>
    <x v="0"/>
    <x v="0"/>
  </r>
  <r>
    <x v="37"/>
    <x v="1"/>
    <x v="37"/>
    <x v="8"/>
    <x v="7"/>
    <x v="37"/>
    <x v="4"/>
    <x v="2"/>
    <x v="1"/>
    <x v="1"/>
    <x v="1"/>
    <x v="1"/>
    <x v="1"/>
    <x v="6"/>
    <x v="1"/>
    <x v="6"/>
    <x v="1"/>
    <x v="1"/>
    <x v="1"/>
    <x v="1"/>
    <x v="6"/>
    <x v="3"/>
    <x v="0"/>
    <x v="0"/>
  </r>
  <r>
    <x v="38"/>
    <x v="1"/>
    <x v="38"/>
    <x v="7"/>
    <x v="0"/>
    <x v="38"/>
    <x v="3"/>
    <x v="1"/>
    <x v="1"/>
    <x v="1"/>
    <x v="1"/>
    <x v="1"/>
    <x v="1"/>
    <x v="6"/>
    <x v="1"/>
    <x v="6"/>
    <x v="1"/>
    <x v="1"/>
    <x v="1"/>
    <x v="1"/>
    <x v="6"/>
    <x v="4"/>
    <x v="0"/>
    <x v="0"/>
  </r>
  <r>
    <x v="39"/>
    <x v="2"/>
    <x v="39"/>
    <x v="5"/>
    <x v="0"/>
    <x v="39"/>
    <x v="0"/>
    <x v="1"/>
    <x v="1"/>
    <x v="1"/>
    <x v="1"/>
    <x v="1"/>
    <x v="1"/>
    <x v="1"/>
    <x v="1"/>
    <x v="1"/>
    <x v="1"/>
    <x v="1"/>
    <x v="1"/>
    <x v="1"/>
    <x v="1"/>
    <x v="4"/>
    <x v="0"/>
    <x v="0"/>
  </r>
  <r>
    <x v="40"/>
    <x v="3"/>
    <x v="40"/>
    <x v="8"/>
    <x v="8"/>
    <x v="40"/>
    <x v="3"/>
    <x v="1"/>
    <x v="1"/>
    <x v="1"/>
    <x v="1"/>
    <x v="1"/>
    <x v="1"/>
    <x v="1"/>
    <x v="1"/>
    <x v="1"/>
    <x v="1"/>
    <x v="1"/>
    <x v="1"/>
    <x v="1"/>
    <x v="1"/>
    <x v="4"/>
    <x v="0"/>
    <x v="0"/>
  </r>
  <r>
    <x v="41"/>
    <x v="4"/>
    <x v="41"/>
    <x v="9"/>
    <x v="0"/>
    <x v="41"/>
    <x v="5"/>
    <x v="10"/>
    <x v="6"/>
    <x v="6"/>
    <x v="6"/>
    <x v="6"/>
    <x v="6"/>
    <x v="7"/>
    <x v="6"/>
    <x v="7"/>
    <x v="6"/>
    <x v="6"/>
    <x v="6"/>
    <x v="6"/>
    <x v="7"/>
    <x v="0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3" firstHeaderRow="1" firstDataRow="1" firstDataCol="1"/>
  <pivotFields count="24">
    <pivotField compact="0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showAll="0">
      <items count="5">
        <item x="1"/>
        <item x="3"/>
        <item x="0"/>
        <item x="2"/>
        <item t="default"/>
      </items>
    </pivotField>
    <pivotField compact="0" showAll="0">
      <items count="42">
        <item x="1"/>
        <item x="32"/>
        <item x="19"/>
        <item x="26"/>
        <item x="37"/>
        <item x="27"/>
        <item x="18"/>
        <item x="31"/>
        <item x="15"/>
        <item x="13"/>
        <item x="23"/>
        <item x="29"/>
        <item x="10"/>
        <item x="22"/>
        <item x="11"/>
        <item x="14"/>
        <item x="9"/>
        <item x="21"/>
        <item x="3"/>
        <item x="17"/>
        <item x="28"/>
        <item x="16"/>
        <item x="20"/>
        <item x="34"/>
        <item x="8"/>
        <item x="36"/>
        <item x="2"/>
        <item x="5"/>
        <item x="38"/>
        <item x="0"/>
        <item x="39"/>
        <item x="40"/>
        <item x="33"/>
        <item x="35"/>
        <item x="12"/>
        <item x="25"/>
        <item x="4"/>
        <item x="24"/>
        <item x="6"/>
        <item x="7"/>
        <item x="30"/>
        <item t="default"/>
      </items>
    </pivotField>
    <pivotField axis="axisRow" compact="0" showAll="0">
      <items count="10">
        <item x="5"/>
        <item x="6"/>
        <item x="3"/>
        <item x="7"/>
        <item x="4"/>
        <item x="1"/>
        <item x="2"/>
        <item x="8"/>
        <item x="0"/>
        <item t="default"/>
      </items>
    </pivotField>
    <pivotField compact="0" showAll="0">
      <items count="10">
        <item x="2"/>
        <item x="7"/>
        <item x="3"/>
        <item x="8"/>
        <item x="1"/>
        <item x="6"/>
        <item x="4"/>
        <item x="5"/>
        <item x="0"/>
        <item t="default"/>
      </items>
    </pivotField>
    <pivotField compact="0" showAll="0">
      <items count="42">
        <item x="6"/>
        <item x="4"/>
        <item x="17"/>
        <item x="19"/>
        <item x="7"/>
        <item x="22"/>
        <item x="15"/>
        <item x="12"/>
        <item x="31"/>
        <item x="14"/>
        <item x="35"/>
        <item x="29"/>
        <item x="33"/>
        <item x="20"/>
        <item x="24"/>
        <item x="8"/>
        <item x="25"/>
        <item x="28"/>
        <item x="13"/>
        <item x="34"/>
        <item x="30"/>
        <item x="37"/>
        <item x="27"/>
        <item x="32"/>
        <item x="16"/>
        <item x="1"/>
        <item x="38"/>
        <item x="26"/>
        <item x="2"/>
        <item x="36"/>
        <item x="10"/>
        <item x="40"/>
        <item x="3"/>
        <item x="5"/>
        <item x="23"/>
        <item x="21"/>
        <item x="39"/>
        <item x="0"/>
        <item x="9"/>
        <item x="11"/>
        <item x="18"/>
        <item t="default"/>
      </items>
    </pivotField>
    <pivotField compact="0" showAll="0">
      <items count="6">
        <item x="2"/>
        <item x="1"/>
        <item x="0"/>
        <item x="3"/>
        <item x="4"/>
        <item t="default"/>
      </items>
    </pivotField>
    <pivotField compact="0" showAll="0">
      <items count="11">
        <item x="4"/>
        <item x="1"/>
        <item x="7"/>
        <item x="3"/>
        <item x="2"/>
        <item x="6"/>
        <item x="9"/>
        <item x="5"/>
        <item x="0"/>
        <item x="8"/>
        <item t="default"/>
      </items>
    </pivotField>
    <pivotField compact="0" showAll="0">
      <items count="7">
        <item x="1"/>
        <item x="3"/>
        <item x="5"/>
        <item x="2"/>
        <item x="0"/>
        <item x="4"/>
        <item t="default"/>
      </items>
    </pivotField>
    <pivotField compact="0" showAll="0">
      <items count="7">
        <item x="1"/>
        <item x="3"/>
        <item x="5"/>
        <item x="2"/>
        <item x="0"/>
        <item x="4"/>
        <item t="default"/>
      </items>
    </pivotField>
    <pivotField compact="0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8">
        <item x="1"/>
        <item x="3"/>
        <item x="5"/>
        <item x="2"/>
        <item x="0"/>
        <item x="4"/>
        <item x="6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dataField="1" compact="0" numFmtId="176" showAll="0">
      <items count="8">
        <item x="1"/>
        <item x="3"/>
        <item x="5"/>
        <item x="6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8">
        <item x="1"/>
        <item x="3"/>
        <item x="6"/>
        <item x="5"/>
        <item x="2"/>
        <item x="0"/>
        <item x="4"/>
        <item t="default"/>
      </items>
    </pivotField>
    <pivotField compact="0" showAll="0">
      <items count="6">
        <item x="4"/>
        <item x="1"/>
        <item x="2"/>
        <item x="3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求和项:公司部分合计" fld="15" baseField="0" baseItem="0" numFmtId="178"/>
  </dataFields>
  <formats count="6">
    <format dxfId="0">
      <pivotArea type="all" dataOnly="0" outline="0" fieldPosition="0"/>
    </format>
    <format dxfId="1">
      <pivotArea type="all" dataOnly="0" outline="0" fieldPosition="0"/>
    </format>
    <format dxfId="2">
      <pivotArea collapsedLevelsAreSubtotals="1" fieldPosition="0"/>
    </format>
    <format dxfId="3">
      <pivotArea grandRow="1" collapsedLevelsAreSubtotals="1" fieldPosition="0"/>
    </format>
    <format dxfId="4">
      <pivotArea type="all" dataOnly="0" outline="0" fieldPosition="0"/>
    </format>
    <format dxfId="5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3:E8" firstHeaderRow="1" firstDataRow="1" firstDataCol="1"/>
  <pivotFields count="24">
    <pivotField compact="0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Row" compact="0" multipleItemSelectionAllowed="1" showAll="0">
      <items count="6">
        <item x="1"/>
        <item x="3"/>
        <item x="0"/>
        <item x="2"/>
        <item h="1" x="4"/>
        <item t="default"/>
      </items>
    </pivotField>
    <pivotField dataField="1" compact="0" showAll="0">
      <items count="43">
        <item x="1"/>
        <item x="32"/>
        <item x="19"/>
        <item x="26"/>
        <item x="37"/>
        <item x="27"/>
        <item x="18"/>
        <item x="31"/>
        <item x="15"/>
        <item x="13"/>
        <item x="23"/>
        <item x="29"/>
        <item x="10"/>
        <item x="22"/>
        <item x="11"/>
        <item x="14"/>
        <item x="9"/>
        <item x="21"/>
        <item x="3"/>
        <item x="17"/>
        <item x="28"/>
        <item x="16"/>
        <item x="20"/>
        <item x="34"/>
        <item x="8"/>
        <item x="36"/>
        <item x="2"/>
        <item x="5"/>
        <item x="38"/>
        <item x="0"/>
        <item x="39"/>
        <item x="40"/>
        <item x="33"/>
        <item x="35"/>
        <item x="12"/>
        <item x="25"/>
        <item x="4"/>
        <item x="24"/>
        <item x="6"/>
        <item x="7"/>
        <item x="30"/>
        <item x="4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计数项:姓名" fld="2" subtotal="count" baseField="0" baseItem="0"/>
  </dataFields>
  <formats count="4">
    <format dxfId="6">
      <pivotArea type="all" dataOnly="0" outline="0" fieldPosition="0"/>
    </format>
    <format dxfId="7">
      <pivotArea type="all" dataOnly="0" outline="0" fieldPosition="0"/>
    </format>
    <format dxfId="8">
      <pivotArea type="all" dataOnly="0" outline="0" fieldPosition="0"/>
    </format>
    <format dxfId="9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1"/>
  <sheetViews>
    <sheetView workbookViewId="0">
      <selection activeCell="H11" sqref="H11"/>
    </sheetView>
  </sheetViews>
  <sheetFormatPr defaultColWidth="8.66666666666667" defaultRowHeight="14.25" outlineLevelCol="5"/>
  <cols>
    <col min="1" max="1" width="9.41666666666667" style="3"/>
    <col min="2" max="2" width="22.75" style="3"/>
    <col min="3" max="3" width="8.66666666666667" style="3"/>
    <col min="4" max="4" width="9.75" style="3"/>
    <col min="5" max="5" width="13.5" style="3"/>
    <col min="6" max="16384" width="8.66666666666667" style="3"/>
  </cols>
  <sheetData>
    <row r="3" spans="1:5">
      <c r="A3" s="64" t="s">
        <v>0</v>
      </c>
      <c r="B3" s="64" t="s">
        <v>1</v>
      </c>
      <c r="D3" s="64" t="s">
        <v>2</v>
      </c>
      <c r="E3" s="64" t="s">
        <v>3</v>
      </c>
    </row>
    <row r="4" spans="1:5">
      <c r="A4" s="64" t="s">
        <v>4</v>
      </c>
      <c r="B4" s="65">
        <v>4464.24</v>
      </c>
      <c r="D4" s="64" t="s">
        <v>5</v>
      </c>
      <c r="E4" s="64">
        <v>13</v>
      </c>
    </row>
    <row r="5" spans="1:5">
      <c r="A5" s="64" t="s">
        <v>6</v>
      </c>
      <c r="B5" s="65">
        <v>5735.16</v>
      </c>
      <c r="D5" s="64" t="s">
        <v>7</v>
      </c>
      <c r="E5" s="64">
        <v>1</v>
      </c>
    </row>
    <row r="6" spans="1:5">
      <c r="A6" s="64" t="s">
        <v>8</v>
      </c>
      <c r="B6" s="65">
        <v>5724.48</v>
      </c>
      <c r="D6" s="64" t="s">
        <v>9</v>
      </c>
      <c r="E6" s="64">
        <v>26</v>
      </c>
    </row>
    <row r="7" spans="1:5">
      <c r="A7" s="64" t="s">
        <v>10</v>
      </c>
      <c r="B7" s="65">
        <v>5569.76</v>
      </c>
      <c r="D7" s="64" t="s">
        <v>11</v>
      </c>
      <c r="E7" s="64">
        <v>1</v>
      </c>
    </row>
    <row r="8" spans="1:5">
      <c r="A8" s="64" t="s">
        <v>12</v>
      </c>
      <c r="B8" s="65">
        <v>1431.12</v>
      </c>
      <c r="D8" s="64" t="s">
        <v>13</v>
      </c>
      <c r="E8" s="64">
        <v>41</v>
      </c>
    </row>
    <row r="9" spans="1:5">
      <c r="A9" s="64" t="s">
        <v>14</v>
      </c>
      <c r="B9" s="65">
        <v>2862.24</v>
      </c>
      <c r="D9"/>
      <c r="E9"/>
    </row>
    <row r="10" spans="1:2">
      <c r="A10" s="64" t="s">
        <v>15</v>
      </c>
      <c r="B10" s="65">
        <v>2862.24</v>
      </c>
    </row>
    <row r="11" spans="1:2">
      <c r="A11" s="64" t="s">
        <v>16</v>
      </c>
      <c r="B11" s="65">
        <v>30541.14</v>
      </c>
    </row>
    <row r="12" spans="1:2">
      <c r="A12" s="64" t="s">
        <v>17</v>
      </c>
      <c r="B12" s="65">
        <v>2403</v>
      </c>
    </row>
    <row r="13" spans="1:2">
      <c r="A13" s="64" t="s">
        <v>13</v>
      </c>
      <c r="B13" s="65">
        <v>61593.38</v>
      </c>
    </row>
    <row r="14" spans="4:6">
      <c r="D14" s="66"/>
      <c r="E14" s="66"/>
      <c r="F14" s="66"/>
    </row>
    <row r="15" spans="4:6">
      <c r="D15" s="66"/>
      <c r="E15" s="66"/>
      <c r="F15" s="66"/>
    </row>
    <row r="16" spans="4:6">
      <c r="D16" s="66"/>
      <c r="E16" s="66"/>
      <c r="F16" s="66"/>
    </row>
    <row r="17" spans="4:6">
      <c r="D17" s="66"/>
      <c r="E17" s="66"/>
      <c r="F17" s="66"/>
    </row>
    <row r="18" spans="4:6">
      <c r="D18" s="66"/>
      <c r="E18" s="66"/>
      <c r="F18" s="66"/>
    </row>
    <row r="19" spans="4:6">
      <c r="D19" s="66"/>
      <c r="E19" s="66"/>
      <c r="F19" s="66"/>
    </row>
    <row r="20" spans="4:6">
      <c r="D20" s="66"/>
      <c r="E20" s="66"/>
      <c r="F20" s="66"/>
    </row>
    <row r="21" spans="5:5">
      <c r="E21" s="66"/>
    </row>
    <row r="22" spans="5:5">
      <c r="E22" s="66"/>
    </row>
    <row r="23" spans="5:5">
      <c r="E23" s="66"/>
    </row>
    <row r="24" spans="5:5">
      <c r="E24" s="66"/>
    </row>
    <row r="25" spans="5:5">
      <c r="E25" s="66"/>
    </row>
    <row r="26" spans="5:5">
      <c r="E26" s="66"/>
    </row>
    <row r="27" spans="5:5">
      <c r="E27" s="66"/>
    </row>
    <row r="28" spans="5:5">
      <c r="E28" s="66"/>
    </row>
    <row r="29" spans="5:5">
      <c r="E29" s="66"/>
    </row>
    <row r="30" spans="5:5">
      <c r="E30" s="66"/>
    </row>
    <row r="31" spans="5:5">
      <c r="E31" s="66"/>
    </row>
    <row r="32" spans="5:5">
      <c r="E32" s="66"/>
    </row>
    <row r="33" spans="5:5">
      <c r="E33" s="66"/>
    </row>
    <row r="34" spans="5:5">
      <c r="E34" s="66"/>
    </row>
    <row r="35" spans="5:5">
      <c r="E35" s="66"/>
    </row>
    <row r="36" spans="5:5">
      <c r="E36" s="66"/>
    </row>
    <row r="37" spans="5:5">
      <c r="E37" s="66"/>
    </row>
    <row r="38" spans="5:5">
      <c r="E38" s="66"/>
    </row>
    <row r="39" spans="5:5">
      <c r="E39" s="66"/>
    </row>
    <row r="40" spans="5:5">
      <c r="E40" s="66"/>
    </row>
    <row r="41" spans="5:5">
      <c r="E41" s="66"/>
    </row>
    <row r="42" spans="5:5">
      <c r="E42" s="66"/>
    </row>
    <row r="43" spans="5:5">
      <c r="E43" s="66"/>
    </row>
    <row r="44" spans="5:5">
      <c r="E44" s="66"/>
    </row>
    <row r="45" spans="5:5">
      <c r="E45" s="66"/>
    </row>
    <row r="46" spans="5:5">
      <c r="E46" s="66"/>
    </row>
    <row r="47" spans="4:4">
      <c r="D47" s="66"/>
    </row>
    <row r="48" spans="5:5">
      <c r="E48" s="66"/>
    </row>
    <row r="49" spans="4:4">
      <c r="D49" s="66"/>
    </row>
    <row r="50" spans="5:5">
      <c r="E50" s="66"/>
    </row>
    <row r="51" spans="4:4">
      <c r="D51" s="6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41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66666666666667" defaultRowHeight="12"/>
  <cols>
    <col min="1" max="1" width="3.125" style="16" customWidth="1"/>
    <col min="2" max="2" width="7.875" style="16" customWidth="1"/>
    <col min="3" max="3" width="6.25" style="16" customWidth="1"/>
    <col min="4" max="4" width="7.875" style="16" customWidth="1"/>
    <col min="5" max="5" width="11.25" style="16" customWidth="1"/>
    <col min="6" max="6" width="17.875" style="16" customWidth="1"/>
    <col min="7" max="7" width="13.125" style="16" customWidth="1"/>
    <col min="8" max="8" width="8.125" style="16" customWidth="1"/>
    <col min="9" max="9" width="5.75" style="16" customWidth="1"/>
    <col min="10" max="10" width="8.125" style="16" customWidth="1"/>
    <col min="11" max="11" width="10" style="16" customWidth="1"/>
    <col min="12" max="12" width="8.375" style="16" customWidth="1"/>
    <col min="13" max="14" width="8.125" style="16" customWidth="1"/>
    <col min="15" max="15" width="7.5" style="16" customWidth="1"/>
    <col min="16" max="16" width="9.125" style="16" customWidth="1"/>
    <col min="17" max="18" width="7.5" style="16" customWidth="1"/>
    <col min="19" max="19" width="6.625" style="16" customWidth="1"/>
    <col min="20" max="21" width="9.125" style="16" customWidth="1"/>
    <col min="22" max="22" width="9.875" style="16" customWidth="1"/>
    <col min="23" max="23" width="2.5" style="16" customWidth="1"/>
    <col min="24" max="24" width="3" style="16" customWidth="1"/>
    <col min="25" max="16384" width="8.66666666666667" style="16"/>
  </cols>
  <sheetData>
    <row r="1" s="52" customFormat="1" ht="84" spans="1:24">
      <c r="A1" s="20" t="s">
        <v>18</v>
      </c>
      <c r="B1" s="20" t="s">
        <v>2</v>
      </c>
      <c r="C1" s="20" t="s">
        <v>19</v>
      </c>
      <c r="D1" s="20" t="s">
        <v>0</v>
      </c>
      <c r="E1" s="20" t="s">
        <v>20</v>
      </c>
      <c r="F1" s="20" t="s">
        <v>21</v>
      </c>
      <c r="G1" s="20" t="s">
        <v>22</v>
      </c>
      <c r="H1" s="20" t="s">
        <v>23</v>
      </c>
      <c r="I1" s="20" t="s">
        <v>24</v>
      </c>
      <c r="J1" s="20" t="s">
        <v>25</v>
      </c>
      <c r="K1" s="20" t="s">
        <v>26</v>
      </c>
      <c r="L1" s="20" t="s">
        <v>27</v>
      </c>
      <c r="M1" s="20" t="s">
        <v>28</v>
      </c>
      <c r="N1" s="20" t="s">
        <v>29</v>
      </c>
      <c r="O1" s="34" t="s">
        <v>30</v>
      </c>
      <c r="P1" s="34" t="s">
        <v>31</v>
      </c>
      <c r="Q1" s="34" t="s">
        <v>32</v>
      </c>
      <c r="R1" s="34" t="s">
        <v>33</v>
      </c>
      <c r="S1" s="34" t="s">
        <v>34</v>
      </c>
      <c r="T1" s="34" t="s">
        <v>35</v>
      </c>
      <c r="U1" s="34" t="s">
        <v>36</v>
      </c>
      <c r="V1" s="34" t="s">
        <v>37</v>
      </c>
      <c r="W1" s="34" t="s">
        <v>38</v>
      </c>
      <c r="X1" s="34" t="s">
        <v>39</v>
      </c>
    </row>
    <row r="2" spans="1:24">
      <c r="A2" s="21">
        <v>1</v>
      </c>
      <c r="B2" s="21" t="s">
        <v>9</v>
      </c>
      <c r="C2" s="21" t="s">
        <v>40</v>
      </c>
      <c r="D2" s="21" t="s">
        <v>41</v>
      </c>
      <c r="E2" s="21"/>
      <c r="F2" s="67" t="s">
        <v>42</v>
      </c>
      <c r="G2" s="24" t="s">
        <v>43</v>
      </c>
      <c r="H2" s="23">
        <v>10000</v>
      </c>
      <c r="I2" s="23">
        <f t="shared" ref="I2:I21" si="0">IF(H2&lt;=5869,5869,IF(H2&lt;=31884,H2,31884))</f>
        <v>10000</v>
      </c>
      <c r="J2" s="23">
        <f t="shared" ref="J2:J21" si="1">IF(H2&lt;=5869,5869,IF(H2&lt;=31884,H2,31884))</f>
        <v>10000</v>
      </c>
      <c r="K2" s="23">
        <f t="shared" ref="K2:K21" si="2">IF(H2&lt;=5869,5869,IF(H2&lt;=31884,H2,31884))</f>
        <v>10000</v>
      </c>
      <c r="L2" s="35">
        <f t="shared" ref="L2:L21" si="3">ROUND(I2*0.16,2)</f>
        <v>1600</v>
      </c>
      <c r="M2" s="35">
        <f t="shared" ref="M2:M21" si="4">ROUND(I2*0.005,2)</f>
        <v>50</v>
      </c>
      <c r="N2" s="35">
        <f t="shared" ref="N2:N17" si="5">ROUND(J2*0.004,2)</f>
        <v>40</v>
      </c>
      <c r="O2" s="35">
        <f t="shared" ref="O2:O21" si="6">ROUND(K2*0.098,2)</f>
        <v>980</v>
      </c>
      <c r="P2" s="35">
        <f t="shared" ref="P2:P21" si="7">SUM(L2:O2)</f>
        <v>2670</v>
      </c>
      <c r="Q2" s="35">
        <f t="shared" ref="Q2:Q21" si="8">ROUND(I2*0.08,2)</f>
        <v>800</v>
      </c>
      <c r="R2" s="35">
        <f t="shared" ref="R2:R21" si="9">ROUND(K2*0.02+3,2)</f>
        <v>203</v>
      </c>
      <c r="S2" s="35">
        <f t="shared" ref="S2:S21" si="10">I2*0.005</f>
        <v>50</v>
      </c>
      <c r="T2" s="35">
        <f t="shared" ref="T2:T21" si="11">SUM(Q2:S2)</f>
        <v>1053</v>
      </c>
      <c r="U2" s="35">
        <f t="shared" ref="U2:U21" si="12">T2+P2</f>
        <v>3723</v>
      </c>
      <c r="V2" s="24"/>
      <c r="W2" s="24"/>
      <c r="X2" s="24" t="s">
        <v>44</v>
      </c>
    </row>
    <row r="3" s="16" customFormat="1" spans="1:24">
      <c r="A3" s="21">
        <v>2</v>
      </c>
      <c r="B3" s="21" t="s">
        <v>9</v>
      </c>
      <c r="C3" s="21" t="s">
        <v>45</v>
      </c>
      <c r="D3" s="21" t="s">
        <v>46</v>
      </c>
      <c r="E3" s="21"/>
      <c r="F3" s="68" t="s">
        <v>47</v>
      </c>
      <c r="G3" s="23" t="s">
        <v>48</v>
      </c>
      <c r="H3" s="23">
        <v>4800</v>
      </c>
      <c r="I3" s="23">
        <f t="shared" si="0"/>
        <v>5869</v>
      </c>
      <c r="J3" s="23">
        <f t="shared" si="1"/>
        <v>5869</v>
      </c>
      <c r="K3" s="23">
        <f t="shared" si="2"/>
        <v>5869</v>
      </c>
      <c r="L3" s="35">
        <f t="shared" si="3"/>
        <v>939.04</v>
      </c>
      <c r="M3" s="35">
        <f t="shared" si="4"/>
        <v>29.35</v>
      </c>
      <c r="N3" s="35">
        <f t="shared" si="5"/>
        <v>23.48</v>
      </c>
      <c r="O3" s="35">
        <f t="shared" si="6"/>
        <v>575.16</v>
      </c>
      <c r="P3" s="35">
        <f t="shared" si="7"/>
        <v>1567.03</v>
      </c>
      <c r="Q3" s="35">
        <f t="shared" si="8"/>
        <v>469.52</v>
      </c>
      <c r="R3" s="35">
        <f t="shared" si="9"/>
        <v>120.38</v>
      </c>
      <c r="S3" s="35">
        <f t="shared" si="10"/>
        <v>29.345</v>
      </c>
      <c r="T3" s="35">
        <f t="shared" si="11"/>
        <v>619.245</v>
      </c>
      <c r="U3" s="35">
        <f t="shared" si="12"/>
        <v>2186.275</v>
      </c>
      <c r="V3" s="24"/>
      <c r="W3" s="24"/>
      <c r="X3" s="24" t="s">
        <v>44</v>
      </c>
    </row>
    <row r="4" spans="1:24">
      <c r="A4" s="21">
        <v>3</v>
      </c>
      <c r="B4" s="21" t="s">
        <v>9</v>
      </c>
      <c r="C4" s="21" t="s">
        <v>49</v>
      </c>
      <c r="D4" s="21" t="s">
        <v>46</v>
      </c>
      <c r="E4" s="21"/>
      <c r="F4" s="24" t="s">
        <v>50</v>
      </c>
      <c r="G4" s="23" t="s">
        <v>51</v>
      </c>
      <c r="H4" s="23">
        <v>5500</v>
      </c>
      <c r="I4" s="23">
        <f t="shared" si="0"/>
        <v>5869</v>
      </c>
      <c r="J4" s="23">
        <f t="shared" si="1"/>
        <v>5869</v>
      </c>
      <c r="K4" s="23">
        <f t="shared" si="2"/>
        <v>5869</v>
      </c>
      <c r="L4" s="35">
        <f t="shared" si="3"/>
        <v>939.04</v>
      </c>
      <c r="M4" s="35">
        <f t="shared" si="4"/>
        <v>29.35</v>
      </c>
      <c r="N4" s="35">
        <f t="shared" si="5"/>
        <v>23.48</v>
      </c>
      <c r="O4" s="35">
        <f t="shared" si="6"/>
        <v>575.16</v>
      </c>
      <c r="P4" s="35">
        <f t="shared" si="7"/>
        <v>1567.03</v>
      </c>
      <c r="Q4" s="35">
        <f t="shared" si="8"/>
        <v>469.52</v>
      </c>
      <c r="R4" s="35">
        <f t="shared" si="9"/>
        <v>120.38</v>
      </c>
      <c r="S4" s="35">
        <f t="shared" si="10"/>
        <v>29.345</v>
      </c>
      <c r="T4" s="35">
        <f t="shared" si="11"/>
        <v>619.245</v>
      </c>
      <c r="U4" s="35">
        <f t="shared" si="12"/>
        <v>2186.275</v>
      </c>
      <c r="V4" s="24"/>
      <c r="W4" s="24"/>
      <c r="X4" s="24" t="s">
        <v>44</v>
      </c>
    </row>
    <row r="5" s="16" customFormat="1" spans="1:24">
      <c r="A5" s="21">
        <v>4</v>
      </c>
      <c r="B5" s="21" t="s">
        <v>9</v>
      </c>
      <c r="C5" s="21" t="s">
        <v>52</v>
      </c>
      <c r="D5" s="21" t="s">
        <v>53</v>
      </c>
      <c r="E5" s="21"/>
      <c r="F5" s="24" t="s">
        <v>54</v>
      </c>
      <c r="G5" s="24" t="s">
        <v>51</v>
      </c>
      <c r="H5" s="23">
        <v>4500</v>
      </c>
      <c r="I5" s="23">
        <f t="shared" si="0"/>
        <v>5869</v>
      </c>
      <c r="J5" s="23">
        <f t="shared" si="1"/>
        <v>5869</v>
      </c>
      <c r="K5" s="23">
        <f t="shared" si="2"/>
        <v>5869</v>
      </c>
      <c r="L5" s="35">
        <f t="shared" si="3"/>
        <v>939.04</v>
      </c>
      <c r="M5" s="35">
        <f t="shared" si="4"/>
        <v>29.35</v>
      </c>
      <c r="N5" s="35">
        <f t="shared" si="5"/>
        <v>23.48</v>
      </c>
      <c r="O5" s="35">
        <f t="shared" si="6"/>
        <v>575.16</v>
      </c>
      <c r="P5" s="35">
        <f t="shared" si="7"/>
        <v>1567.03</v>
      </c>
      <c r="Q5" s="35">
        <f t="shared" si="8"/>
        <v>469.52</v>
      </c>
      <c r="R5" s="35">
        <f t="shared" si="9"/>
        <v>120.38</v>
      </c>
      <c r="S5" s="35">
        <f t="shared" si="10"/>
        <v>29.345</v>
      </c>
      <c r="T5" s="35">
        <f t="shared" si="11"/>
        <v>619.245</v>
      </c>
      <c r="U5" s="35">
        <f t="shared" si="12"/>
        <v>2186.275</v>
      </c>
      <c r="V5" s="24"/>
      <c r="W5" s="24"/>
      <c r="X5" s="24" t="s">
        <v>44</v>
      </c>
    </row>
    <row r="6" spans="1:24">
      <c r="A6" s="21">
        <v>5</v>
      </c>
      <c r="B6" s="21" t="s">
        <v>9</v>
      </c>
      <c r="C6" s="21" t="s">
        <v>55</v>
      </c>
      <c r="D6" s="21" t="s">
        <v>56</v>
      </c>
      <c r="E6" s="21"/>
      <c r="F6" s="67" t="s">
        <v>57</v>
      </c>
      <c r="G6" s="24" t="s">
        <v>51</v>
      </c>
      <c r="H6" s="23">
        <v>5300</v>
      </c>
      <c r="I6" s="23">
        <f t="shared" si="0"/>
        <v>5869</v>
      </c>
      <c r="J6" s="23">
        <f t="shared" si="1"/>
        <v>5869</v>
      </c>
      <c r="K6" s="23">
        <f t="shared" si="2"/>
        <v>5869</v>
      </c>
      <c r="L6" s="35">
        <f t="shared" si="3"/>
        <v>939.04</v>
      </c>
      <c r="M6" s="35">
        <f t="shared" si="4"/>
        <v>29.35</v>
      </c>
      <c r="N6" s="35">
        <f t="shared" si="5"/>
        <v>23.48</v>
      </c>
      <c r="O6" s="35">
        <f t="shared" si="6"/>
        <v>575.16</v>
      </c>
      <c r="P6" s="35">
        <f t="shared" si="7"/>
        <v>1567.03</v>
      </c>
      <c r="Q6" s="35">
        <f t="shared" si="8"/>
        <v>469.52</v>
      </c>
      <c r="R6" s="35">
        <f t="shared" si="9"/>
        <v>120.38</v>
      </c>
      <c r="S6" s="35">
        <f t="shared" si="10"/>
        <v>29.345</v>
      </c>
      <c r="T6" s="35">
        <f t="shared" si="11"/>
        <v>619.245</v>
      </c>
      <c r="U6" s="35">
        <f t="shared" si="12"/>
        <v>2186.275</v>
      </c>
      <c r="V6" s="24"/>
      <c r="W6" s="24"/>
      <c r="X6" s="24" t="s">
        <v>44</v>
      </c>
    </row>
    <row r="7" spans="1:24">
      <c r="A7" s="21">
        <v>6</v>
      </c>
      <c r="B7" s="21" t="s">
        <v>9</v>
      </c>
      <c r="C7" s="21" t="s">
        <v>58</v>
      </c>
      <c r="D7" s="21" t="s">
        <v>56</v>
      </c>
      <c r="E7" s="21"/>
      <c r="F7" s="67" t="s">
        <v>59</v>
      </c>
      <c r="G7" s="24" t="s">
        <v>43</v>
      </c>
      <c r="H7" s="23">
        <v>6500</v>
      </c>
      <c r="I7" s="23">
        <f t="shared" si="0"/>
        <v>6500</v>
      </c>
      <c r="J7" s="23">
        <f t="shared" si="1"/>
        <v>6500</v>
      </c>
      <c r="K7" s="23">
        <f t="shared" si="2"/>
        <v>6500</v>
      </c>
      <c r="L7" s="35">
        <f t="shared" si="3"/>
        <v>1040</v>
      </c>
      <c r="M7" s="35">
        <f t="shared" si="4"/>
        <v>32.5</v>
      </c>
      <c r="N7" s="35">
        <f t="shared" si="5"/>
        <v>26</v>
      </c>
      <c r="O7" s="35">
        <f t="shared" si="6"/>
        <v>637</v>
      </c>
      <c r="P7" s="35">
        <f t="shared" si="7"/>
        <v>1735.5</v>
      </c>
      <c r="Q7" s="35">
        <f t="shared" si="8"/>
        <v>520</v>
      </c>
      <c r="R7" s="35">
        <f t="shared" si="9"/>
        <v>133</v>
      </c>
      <c r="S7" s="35">
        <f t="shared" si="10"/>
        <v>32.5</v>
      </c>
      <c r="T7" s="35">
        <f t="shared" si="11"/>
        <v>685.5</v>
      </c>
      <c r="U7" s="35">
        <f t="shared" si="12"/>
        <v>2421</v>
      </c>
      <c r="V7" s="24"/>
      <c r="W7" s="24"/>
      <c r="X7" s="24" t="s">
        <v>44</v>
      </c>
    </row>
    <row r="8" spans="1:24">
      <c r="A8" s="21">
        <v>7</v>
      </c>
      <c r="B8" s="21" t="s">
        <v>9</v>
      </c>
      <c r="C8" s="21" t="s">
        <v>60</v>
      </c>
      <c r="D8" s="21" t="s">
        <v>61</v>
      </c>
      <c r="E8" s="21"/>
      <c r="F8" s="67" t="s">
        <v>62</v>
      </c>
      <c r="G8" s="24" t="s">
        <v>51</v>
      </c>
      <c r="H8" s="23">
        <v>7000</v>
      </c>
      <c r="I8" s="23">
        <f t="shared" si="0"/>
        <v>7000</v>
      </c>
      <c r="J8" s="23">
        <f t="shared" si="1"/>
        <v>7000</v>
      </c>
      <c r="K8" s="23">
        <f t="shared" si="2"/>
        <v>7000</v>
      </c>
      <c r="L8" s="35">
        <f t="shared" si="3"/>
        <v>1120</v>
      </c>
      <c r="M8" s="35">
        <f t="shared" si="4"/>
        <v>35</v>
      </c>
      <c r="N8" s="35">
        <f t="shared" si="5"/>
        <v>28</v>
      </c>
      <c r="O8" s="35">
        <f t="shared" si="6"/>
        <v>686</v>
      </c>
      <c r="P8" s="35">
        <f t="shared" si="7"/>
        <v>1869</v>
      </c>
      <c r="Q8" s="35">
        <f t="shared" si="8"/>
        <v>560</v>
      </c>
      <c r="R8" s="35">
        <f t="shared" si="9"/>
        <v>143</v>
      </c>
      <c r="S8" s="35">
        <f t="shared" si="10"/>
        <v>35</v>
      </c>
      <c r="T8" s="35">
        <f t="shared" si="11"/>
        <v>738</v>
      </c>
      <c r="U8" s="35">
        <f t="shared" si="12"/>
        <v>2607</v>
      </c>
      <c r="V8" s="24"/>
      <c r="W8" s="24"/>
      <c r="X8" s="24" t="s">
        <v>44</v>
      </c>
    </row>
    <row r="9" spans="1:24">
      <c r="A9" s="21">
        <v>8</v>
      </c>
      <c r="B9" s="21" t="s">
        <v>9</v>
      </c>
      <c r="C9" s="21" t="s">
        <v>63</v>
      </c>
      <c r="D9" s="21" t="s">
        <v>61</v>
      </c>
      <c r="E9" s="21"/>
      <c r="F9" s="67" t="s">
        <v>64</v>
      </c>
      <c r="G9" s="24" t="s">
        <v>51</v>
      </c>
      <c r="H9" s="23">
        <f>VLOOKUP(C9,[1]城镇职工人员!$B$2:$C$26,2,0)</f>
        <v>5400</v>
      </c>
      <c r="I9" s="23">
        <f t="shared" si="0"/>
        <v>5869</v>
      </c>
      <c r="J9" s="23">
        <f t="shared" si="1"/>
        <v>5869</v>
      </c>
      <c r="K9" s="23">
        <f t="shared" si="2"/>
        <v>5869</v>
      </c>
      <c r="L9" s="35">
        <f t="shared" si="3"/>
        <v>939.04</v>
      </c>
      <c r="M9" s="35">
        <f t="shared" si="4"/>
        <v>29.35</v>
      </c>
      <c r="N9" s="35">
        <f t="shared" si="5"/>
        <v>23.48</v>
      </c>
      <c r="O9" s="35">
        <f t="shared" si="6"/>
        <v>575.16</v>
      </c>
      <c r="P9" s="35">
        <f t="shared" si="7"/>
        <v>1567.03</v>
      </c>
      <c r="Q9" s="35">
        <f t="shared" si="8"/>
        <v>469.52</v>
      </c>
      <c r="R9" s="35">
        <f t="shared" si="9"/>
        <v>120.38</v>
      </c>
      <c r="S9" s="35">
        <f t="shared" si="10"/>
        <v>29.345</v>
      </c>
      <c r="T9" s="35">
        <f t="shared" si="11"/>
        <v>619.245</v>
      </c>
      <c r="U9" s="35">
        <f t="shared" si="12"/>
        <v>2186.275</v>
      </c>
      <c r="V9" s="24"/>
      <c r="W9" s="24"/>
      <c r="X9" s="24" t="s">
        <v>44</v>
      </c>
    </row>
    <row r="10" s="16" customFormat="1" spans="1:24">
      <c r="A10" s="21">
        <v>9</v>
      </c>
      <c r="B10" s="21" t="s">
        <v>9</v>
      </c>
      <c r="C10" s="21" t="s">
        <v>65</v>
      </c>
      <c r="D10" s="21" t="s">
        <v>61</v>
      </c>
      <c r="E10" s="21"/>
      <c r="F10" s="68" t="s">
        <v>66</v>
      </c>
      <c r="G10" s="23" t="s">
        <v>43</v>
      </c>
      <c r="H10" s="23">
        <v>5000</v>
      </c>
      <c r="I10" s="23">
        <f t="shared" si="0"/>
        <v>5869</v>
      </c>
      <c r="J10" s="23">
        <f t="shared" si="1"/>
        <v>5869</v>
      </c>
      <c r="K10" s="23">
        <f t="shared" si="2"/>
        <v>5869</v>
      </c>
      <c r="L10" s="35">
        <f t="shared" si="3"/>
        <v>939.04</v>
      </c>
      <c r="M10" s="35">
        <f t="shared" si="4"/>
        <v>29.35</v>
      </c>
      <c r="N10" s="35">
        <f t="shared" si="5"/>
        <v>23.48</v>
      </c>
      <c r="O10" s="35">
        <f t="shared" si="6"/>
        <v>575.16</v>
      </c>
      <c r="P10" s="35">
        <f t="shared" si="7"/>
        <v>1567.03</v>
      </c>
      <c r="Q10" s="35">
        <f t="shared" si="8"/>
        <v>469.52</v>
      </c>
      <c r="R10" s="35">
        <f t="shared" si="9"/>
        <v>120.38</v>
      </c>
      <c r="S10" s="35">
        <f t="shared" si="10"/>
        <v>29.345</v>
      </c>
      <c r="T10" s="35">
        <f t="shared" si="11"/>
        <v>619.245</v>
      </c>
      <c r="U10" s="35">
        <f t="shared" si="12"/>
        <v>2186.275</v>
      </c>
      <c r="V10" s="44">
        <v>44471</v>
      </c>
      <c r="W10" s="24"/>
      <c r="X10" s="24" t="s">
        <v>44</v>
      </c>
    </row>
    <row r="11" spans="1:24">
      <c r="A11" s="21">
        <v>10</v>
      </c>
      <c r="B11" s="21" t="s">
        <v>9</v>
      </c>
      <c r="C11" s="21" t="s">
        <v>67</v>
      </c>
      <c r="D11" s="21" t="s">
        <v>68</v>
      </c>
      <c r="E11" s="21"/>
      <c r="F11" s="67" t="s">
        <v>69</v>
      </c>
      <c r="G11" s="24" t="s">
        <v>51</v>
      </c>
      <c r="H11" s="23">
        <f>VLOOKUP(C11,[1]城镇职工人员!$B$2:$C$26,2,0)</f>
        <v>10000</v>
      </c>
      <c r="I11" s="23">
        <f t="shared" si="0"/>
        <v>10000</v>
      </c>
      <c r="J11" s="23">
        <f t="shared" si="1"/>
        <v>10000</v>
      </c>
      <c r="K11" s="23">
        <f t="shared" si="2"/>
        <v>10000</v>
      </c>
      <c r="L11" s="35">
        <f t="shared" si="3"/>
        <v>1600</v>
      </c>
      <c r="M11" s="35">
        <f t="shared" si="4"/>
        <v>50</v>
      </c>
      <c r="N11" s="35">
        <f t="shared" si="5"/>
        <v>40</v>
      </c>
      <c r="O11" s="35">
        <f t="shared" si="6"/>
        <v>980</v>
      </c>
      <c r="P11" s="35">
        <f t="shared" si="7"/>
        <v>2670</v>
      </c>
      <c r="Q11" s="35">
        <f t="shared" si="8"/>
        <v>800</v>
      </c>
      <c r="R11" s="35">
        <f t="shared" si="9"/>
        <v>203</v>
      </c>
      <c r="S11" s="35">
        <f t="shared" si="10"/>
        <v>50</v>
      </c>
      <c r="T11" s="35">
        <f t="shared" si="11"/>
        <v>1053</v>
      </c>
      <c r="U11" s="35">
        <f t="shared" si="12"/>
        <v>3723</v>
      </c>
      <c r="V11" s="24"/>
      <c r="W11" s="24"/>
      <c r="X11" s="24" t="s">
        <v>44</v>
      </c>
    </row>
    <row r="12" spans="1:24">
      <c r="A12" s="21">
        <v>11</v>
      </c>
      <c r="B12" s="21" t="s">
        <v>9</v>
      </c>
      <c r="C12" s="21" t="s">
        <v>70</v>
      </c>
      <c r="D12" s="21" t="s">
        <v>71</v>
      </c>
      <c r="E12" s="21"/>
      <c r="F12" s="67" t="s">
        <v>72</v>
      </c>
      <c r="G12" s="24" t="s">
        <v>51</v>
      </c>
      <c r="H12" s="23">
        <v>5200</v>
      </c>
      <c r="I12" s="23">
        <f t="shared" si="0"/>
        <v>5869</v>
      </c>
      <c r="J12" s="23">
        <f t="shared" si="1"/>
        <v>5869</v>
      </c>
      <c r="K12" s="23">
        <f t="shared" si="2"/>
        <v>5869</v>
      </c>
      <c r="L12" s="35">
        <f t="shared" si="3"/>
        <v>939.04</v>
      </c>
      <c r="M12" s="35">
        <f t="shared" si="4"/>
        <v>29.35</v>
      </c>
      <c r="N12" s="35">
        <f t="shared" si="5"/>
        <v>23.48</v>
      </c>
      <c r="O12" s="35">
        <f t="shared" si="6"/>
        <v>575.16</v>
      </c>
      <c r="P12" s="35">
        <f t="shared" si="7"/>
        <v>1567.03</v>
      </c>
      <c r="Q12" s="35">
        <f t="shared" si="8"/>
        <v>469.52</v>
      </c>
      <c r="R12" s="35">
        <f t="shared" si="9"/>
        <v>120.38</v>
      </c>
      <c r="S12" s="35">
        <f t="shared" si="10"/>
        <v>29.345</v>
      </c>
      <c r="T12" s="35">
        <f t="shared" si="11"/>
        <v>619.245</v>
      </c>
      <c r="U12" s="35">
        <f t="shared" si="12"/>
        <v>2186.275</v>
      </c>
      <c r="V12" s="24"/>
      <c r="W12" s="24"/>
      <c r="X12" s="24" t="s">
        <v>44</v>
      </c>
    </row>
    <row r="13" spans="1:24">
      <c r="A13" s="21">
        <v>12</v>
      </c>
      <c r="B13" s="21" t="s">
        <v>9</v>
      </c>
      <c r="C13" s="21" t="s">
        <v>73</v>
      </c>
      <c r="D13" s="21" t="s">
        <v>71</v>
      </c>
      <c r="E13" s="21"/>
      <c r="F13" s="24" t="s">
        <v>74</v>
      </c>
      <c r="G13" s="23" t="s">
        <v>51</v>
      </c>
      <c r="H13" s="23">
        <v>5400</v>
      </c>
      <c r="I13" s="23">
        <f t="shared" si="0"/>
        <v>5869</v>
      </c>
      <c r="J13" s="23">
        <f t="shared" si="1"/>
        <v>5869</v>
      </c>
      <c r="K13" s="23">
        <f t="shared" si="2"/>
        <v>5869</v>
      </c>
      <c r="L13" s="35">
        <f t="shared" si="3"/>
        <v>939.04</v>
      </c>
      <c r="M13" s="35">
        <f t="shared" si="4"/>
        <v>29.35</v>
      </c>
      <c r="N13" s="35">
        <f t="shared" si="5"/>
        <v>23.48</v>
      </c>
      <c r="O13" s="35">
        <f t="shared" si="6"/>
        <v>575.16</v>
      </c>
      <c r="P13" s="35">
        <f t="shared" si="7"/>
        <v>1567.03</v>
      </c>
      <c r="Q13" s="35">
        <f t="shared" si="8"/>
        <v>469.52</v>
      </c>
      <c r="R13" s="35">
        <f t="shared" si="9"/>
        <v>120.38</v>
      </c>
      <c r="S13" s="35">
        <f t="shared" si="10"/>
        <v>29.345</v>
      </c>
      <c r="T13" s="35">
        <f t="shared" si="11"/>
        <v>619.245</v>
      </c>
      <c r="U13" s="35">
        <f t="shared" si="12"/>
        <v>2186.275</v>
      </c>
      <c r="V13" s="24"/>
      <c r="W13" s="24"/>
      <c r="X13" s="24" t="s">
        <v>44</v>
      </c>
    </row>
    <row r="14" spans="1:24">
      <c r="A14" s="21">
        <v>13</v>
      </c>
      <c r="B14" s="21" t="s">
        <v>9</v>
      </c>
      <c r="C14" s="21" t="s">
        <v>75</v>
      </c>
      <c r="D14" s="21" t="s">
        <v>71</v>
      </c>
      <c r="E14" s="21"/>
      <c r="F14" s="67" t="s">
        <v>76</v>
      </c>
      <c r="G14" s="24" t="s">
        <v>43</v>
      </c>
      <c r="H14" s="23">
        <v>6000</v>
      </c>
      <c r="I14" s="23">
        <f t="shared" si="0"/>
        <v>6000</v>
      </c>
      <c r="J14" s="23">
        <f t="shared" si="1"/>
        <v>6000</v>
      </c>
      <c r="K14" s="23">
        <f t="shared" si="2"/>
        <v>6000</v>
      </c>
      <c r="L14" s="35">
        <f t="shared" si="3"/>
        <v>960</v>
      </c>
      <c r="M14" s="35">
        <f t="shared" si="4"/>
        <v>30</v>
      </c>
      <c r="N14" s="35">
        <f t="shared" si="5"/>
        <v>24</v>
      </c>
      <c r="O14" s="35">
        <f t="shared" si="6"/>
        <v>588</v>
      </c>
      <c r="P14" s="35">
        <f t="shared" si="7"/>
        <v>1602</v>
      </c>
      <c r="Q14" s="35">
        <f t="shared" si="8"/>
        <v>480</v>
      </c>
      <c r="R14" s="35">
        <f t="shared" si="9"/>
        <v>123</v>
      </c>
      <c r="S14" s="35">
        <f t="shared" si="10"/>
        <v>30</v>
      </c>
      <c r="T14" s="35">
        <f t="shared" si="11"/>
        <v>633</v>
      </c>
      <c r="U14" s="35">
        <f t="shared" si="12"/>
        <v>2235</v>
      </c>
      <c r="V14" s="24"/>
      <c r="W14" s="24"/>
      <c r="X14" s="24" t="s">
        <v>44</v>
      </c>
    </row>
    <row r="15" s="16" customFormat="1" spans="1:24">
      <c r="A15" s="21">
        <v>14</v>
      </c>
      <c r="B15" s="21" t="s">
        <v>9</v>
      </c>
      <c r="C15" s="21" t="s">
        <v>77</v>
      </c>
      <c r="D15" s="21" t="s">
        <v>71</v>
      </c>
      <c r="E15" s="21"/>
      <c r="F15" s="68" t="s">
        <v>78</v>
      </c>
      <c r="G15" s="23" t="s">
        <v>51</v>
      </c>
      <c r="H15" s="23">
        <v>4500</v>
      </c>
      <c r="I15" s="23">
        <f t="shared" si="0"/>
        <v>5869</v>
      </c>
      <c r="J15" s="23">
        <f t="shared" si="1"/>
        <v>5869</v>
      </c>
      <c r="K15" s="23">
        <f t="shared" si="2"/>
        <v>5869</v>
      </c>
      <c r="L15" s="35">
        <f t="shared" si="3"/>
        <v>939.04</v>
      </c>
      <c r="M15" s="35">
        <f t="shared" si="4"/>
        <v>29.35</v>
      </c>
      <c r="N15" s="35">
        <f t="shared" si="5"/>
        <v>23.48</v>
      </c>
      <c r="O15" s="35">
        <f t="shared" si="6"/>
        <v>575.16</v>
      </c>
      <c r="P15" s="35">
        <f t="shared" si="7"/>
        <v>1567.03</v>
      </c>
      <c r="Q15" s="35">
        <f t="shared" si="8"/>
        <v>469.52</v>
      </c>
      <c r="R15" s="35">
        <f t="shared" si="9"/>
        <v>120.38</v>
      </c>
      <c r="S15" s="35">
        <f t="shared" si="10"/>
        <v>29.345</v>
      </c>
      <c r="T15" s="35">
        <f t="shared" si="11"/>
        <v>619.245</v>
      </c>
      <c r="U15" s="35">
        <f t="shared" si="12"/>
        <v>2186.275</v>
      </c>
      <c r="V15" s="24"/>
      <c r="W15" s="24"/>
      <c r="X15" s="24" t="s">
        <v>44</v>
      </c>
    </row>
    <row r="16" s="16" customFormat="1" spans="1:24">
      <c r="A16" s="21">
        <v>15</v>
      </c>
      <c r="B16" s="21" t="s">
        <v>9</v>
      </c>
      <c r="C16" s="21" t="s">
        <v>79</v>
      </c>
      <c r="D16" s="21" t="s">
        <v>68</v>
      </c>
      <c r="E16" s="21"/>
      <c r="F16" s="69" t="s">
        <v>80</v>
      </c>
      <c r="G16" s="23" t="s">
        <v>48</v>
      </c>
      <c r="H16" s="23">
        <v>4800</v>
      </c>
      <c r="I16" s="23">
        <f t="shared" si="0"/>
        <v>5869</v>
      </c>
      <c r="J16" s="23">
        <f t="shared" si="1"/>
        <v>5869</v>
      </c>
      <c r="K16" s="23">
        <f t="shared" si="2"/>
        <v>5869</v>
      </c>
      <c r="L16" s="35">
        <f t="shared" si="3"/>
        <v>939.04</v>
      </c>
      <c r="M16" s="35">
        <f t="shared" si="4"/>
        <v>29.35</v>
      </c>
      <c r="N16" s="35">
        <f>ROUND(J16*0.004,2)</f>
        <v>23.48</v>
      </c>
      <c r="O16" s="35">
        <f t="shared" si="6"/>
        <v>575.16</v>
      </c>
      <c r="P16" s="35">
        <f t="shared" si="7"/>
        <v>1567.03</v>
      </c>
      <c r="Q16" s="35">
        <f t="shared" si="8"/>
        <v>469.52</v>
      </c>
      <c r="R16" s="35">
        <f t="shared" si="9"/>
        <v>120.38</v>
      </c>
      <c r="S16" s="35">
        <f t="shared" si="10"/>
        <v>29.345</v>
      </c>
      <c r="T16" s="35">
        <f t="shared" si="11"/>
        <v>619.245</v>
      </c>
      <c r="U16" s="35">
        <f t="shared" si="12"/>
        <v>2186.275</v>
      </c>
      <c r="V16" s="44">
        <v>44621</v>
      </c>
      <c r="W16" s="24"/>
      <c r="X16" s="24" t="s">
        <v>44</v>
      </c>
    </row>
    <row r="17" s="17" customFormat="1" spans="1:24">
      <c r="A17" s="54">
        <v>16</v>
      </c>
      <c r="B17" s="54" t="s">
        <v>9</v>
      </c>
      <c r="C17" s="54" t="s">
        <v>81</v>
      </c>
      <c r="D17" s="54" t="s">
        <v>82</v>
      </c>
      <c r="E17" s="54"/>
      <c r="F17" s="70" t="s">
        <v>83</v>
      </c>
      <c r="G17" s="55" t="s">
        <v>43</v>
      </c>
      <c r="H17" s="56">
        <v>5500</v>
      </c>
      <c r="I17" s="56">
        <f>IF(H17&lt;=5869,5869,IF(H17&lt;=31884,H17,31884))</f>
        <v>5869</v>
      </c>
      <c r="J17" s="56">
        <f>IF(H17&lt;=5869,5869,IF(H17&lt;=31884,H17,31884))</f>
        <v>5869</v>
      </c>
      <c r="K17" s="56">
        <f>IF(H17&lt;=5869,5869,IF(H17&lt;=31884,H17,31884))</f>
        <v>5869</v>
      </c>
      <c r="L17" s="58">
        <f>ROUND(I17*0.16,2)</f>
        <v>939.04</v>
      </c>
      <c r="M17" s="58">
        <f>ROUND(I17*0.005,2)</f>
        <v>29.35</v>
      </c>
      <c r="N17" s="58">
        <f>ROUND(J17*0.004,2)</f>
        <v>23.48</v>
      </c>
      <c r="O17" s="58">
        <f>ROUND(K17*0.098,2)</f>
        <v>575.16</v>
      </c>
      <c r="P17" s="58">
        <f>SUM(L17:O17)</f>
        <v>1567.03</v>
      </c>
      <c r="Q17" s="58">
        <f>ROUND(I17*0.08,2)</f>
        <v>469.52</v>
      </c>
      <c r="R17" s="58">
        <f>ROUND(K17*0.02+3,2)</f>
        <v>120.38</v>
      </c>
      <c r="S17" s="58">
        <f>I17*0.005</f>
        <v>29.345</v>
      </c>
      <c r="T17" s="58">
        <f>SUM(Q17:S17)</f>
        <v>619.245</v>
      </c>
      <c r="U17" s="58">
        <f>T17+P17</f>
        <v>2186.275</v>
      </c>
      <c r="V17" s="61">
        <v>44866</v>
      </c>
      <c r="W17" s="55"/>
      <c r="X17" s="55" t="s">
        <v>44</v>
      </c>
    </row>
    <row r="18" s="16" customFormat="1" spans="1:24">
      <c r="A18" s="21">
        <v>17</v>
      </c>
      <c r="B18" s="21" t="s">
        <v>5</v>
      </c>
      <c r="C18" s="21" t="s">
        <v>84</v>
      </c>
      <c r="D18" s="21" t="s">
        <v>85</v>
      </c>
      <c r="E18" s="21" t="s">
        <v>86</v>
      </c>
      <c r="F18" s="67" t="s">
        <v>87</v>
      </c>
      <c r="G18" s="24" t="s">
        <v>51</v>
      </c>
      <c r="H18" s="23">
        <v>5000</v>
      </c>
      <c r="I18" s="23">
        <f>IF(H18&lt;=5869,5869,IF(H18&lt;=31884,H18,31884))</f>
        <v>5869</v>
      </c>
      <c r="J18" s="23">
        <f>IF(H18&lt;=5869,5869,IF(H18&lt;=31884,H18,31884))</f>
        <v>5869</v>
      </c>
      <c r="K18" s="23">
        <f>IF(H18&lt;=5869,5869,IF(H18&lt;=31884,H18,31884))</f>
        <v>5869</v>
      </c>
      <c r="L18" s="35">
        <f>ROUND(I18*0.16,2)</f>
        <v>939.04</v>
      </c>
      <c r="M18" s="35">
        <f>ROUND(I18*0.005,2)</f>
        <v>29.35</v>
      </c>
      <c r="N18" s="35">
        <f>ROUND(J18*0.011,2)</f>
        <v>64.56</v>
      </c>
      <c r="O18" s="35">
        <f>ROUND(K18*0.098,2)</f>
        <v>575.16</v>
      </c>
      <c r="P18" s="35">
        <f>SUM(L18:O18)</f>
        <v>1608.11</v>
      </c>
      <c r="Q18" s="35">
        <f>ROUND(I18*0.08,2)</f>
        <v>469.52</v>
      </c>
      <c r="R18" s="35">
        <f>ROUND(K18*0.02+3,2)</f>
        <v>120.38</v>
      </c>
      <c r="S18" s="35">
        <f>I18*0.005</f>
        <v>29.345</v>
      </c>
      <c r="T18" s="35">
        <f>SUM(Q18:S18)</f>
        <v>619.245</v>
      </c>
      <c r="U18" s="35">
        <f>T18+P18</f>
        <v>2227.355</v>
      </c>
      <c r="V18" s="44">
        <v>44471</v>
      </c>
      <c r="W18" s="24"/>
      <c r="X18" s="24" t="s">
        <v>44</v>
      </c>
    </row>
    <row r="19" s="16" customFormat="1" spans="1:24">
      <c r="A19" s="21">
        <v>18</v>
      </c>
      <c r="B19" s="21" t="s">
        <v>5</v>
      </c>
      <c r="C19" s="21" t="s">
        <v>88</v>
      </c>
      <c r="D19" s="21" t="s">
        <v>85</v>
      </c>
      <c r="E19" s="21" t="s">
        <v>86</v>
      </c>
      <c r="F19" s="67" t="s">
        <v>89</v>
      </c>
      <c r="G19" s="24" t="s">
        <v>51</v>
      </c>
      <c r="H19" s="23">
        <v>5000</v>
      </c>
      <c r="I19" s="23">
        <f>IF(H19&lt;=5869,5869,IF(H19&lt;=31884,H19,31884))</f>
        <v>5869</v>
      </c>
      <c r="J19" s="23">
        <f>IF(H19&lt;=5869,5869,IF(H19&lt;=31884,H19,31884))</f>
        <v>5869</v>
      </c>
      <c r="K19" s="23">
        <f>IF(H19&lt;=5869,5869,IF(H19&lt;=31884,H19,31884))</f>
        <v>5869</v>
      </c>
      <c r="L19" s="35">
        <f>ROUND(I19*0.16,2)</f>
        <v>939.04</v>
      </c>
      <c r="M19" s="35">
        <f>ROUND(I19*0.005,2)</f>
        <v>29.35</v>
      </c>
      <c r="N19" s="35">
        <f>ROUND(J19*0.011,2)</f>
        <v>64.56</v>
      </c>
      <c r="O19" s="35">
        <f>ROUND(K19*0.098,2)</f>
        <v>575.16</v>
      </c>
      <c r="P19" s="35">
        <f>SUM(L19:O19)</f>
        <v>1608.11</v>
      </c>
      <c r="Q19" s="35">
        <f>ROUND(I19*0.08,2)</f>
        <v>469.52</v>
      </c>
      <c r="R19" s="35">
        <f>ROUND(K19*0.02+3,2)</f>
        <v>120.38</v>
      </c>
      <c r="S19" s="35">
        <f>I19*0.005</f>
        <v>29.345</v>
      </c>
      <c r="T19" s="35">
        <f>SUM(Q19:S19)</f>
        <v>619.245</v>
      </c>
      <c r="U19" s="35">
        <f>T19+P19</f>
        <v>2227.355</v>
      </c>
      <c r="V19" s="44">
        <v>44471</v>
      </c>
      <c r="W19" s="24"/>
      <c r="X19" s="24" t="s">
        <v>44</v>
      </c>
    </row>
    <row r="20" s="16" customFormat="1" spans="1:24">
      <c r="A20" s="21">
        <v>19</v>
      </c>
      <c r="B20" s="21" t="s">
        <v>5</v>
      </c>
      <c r="C20" s="21" t="s">
        <v>90</v>
      </c>
      <c r="D20" s="21" t="s">
        <v>85</v>
      </c>
      <c r="E20" s="21" t="s">
        <v>91</v>
      </c>
      <c r="F20" s="67" t="s">
        <v>92</v>
      </c>
      <c r="G20" s="24" t="s">
        <v>51</v>
      </c>
      <c r="H20" s="23">
        <v>5000</v>
      </c>
      <c r="I20" s="23">
        <f>IF(H20&lt;=5869,5869,IF(H20&lt;=31884,H20,31884))</f>
        <v>5869</v>
      </c>
      <c r="J20" s="23">
        <f>IF(H20&lt;=5869,5869,IF(H20&lt;=31884,H20,31884))</f>
        <v>5869</v>
      </c>
      <c r="K20" s="23">
        <f>IF(H20&lt;=5869,5869,IF(H20&lt;=31884,H20,31884))</f>
        <v>5869</v>
      </c>
      <c r="L20" s="35">
        <f>ROUND(I20*0.16,2)</f>
        <v>939.04</v>
      </c>
      <c r="M20" s="35">
        <f>ROUND(I20*0.005,2)</f>
        <v>29.35</v>
      </c>
      <c r="N20" s="35">
        <f>ROUND(J20*0.011,2)</f>
        <v>64.56</v>
      </c>
      <c r="O20" s="35">
        <f>ROUND(K20*0.098,2)</f>
        <v>575.16</v>
      </c>
      <c r="P20" s="35">
        <f>SUM(L20:O20)</f>
        <v>1608.11</v>
      </c>
      <c r="Q20" s="35">
        <f>ROUND(I20*0.08,2)</f>
        <v>469.52</v>
      </c>
      <c r="R20" s="35">
        <f>ROUND(K20*0.02+3,2)</f>
        <v>120.38</v>
      </c>
      <c r="S20" s="35">
        <f>I20*0.005</f>
        <v>29.345</v>
      </c>
      <c r="T20" s="35">
        <f>SUM(Q20:S20)</f>
        <v>619.245</v>
      </c>
      <c r="U20" s="35">
        <f>T20+P20</f>
        <v>2227.355</v>
      </c>
      <c r="V20" s="44">
        <v>44471</v>
      </c>
      <c r="W20" s="24"/>
      <c r="X20" s="24" t="s">
        <v>44</v>
      </c>
    </row>
    <row r="21" s="16" customFormat="1" spans="1:24">
      <c r="A21" s="21">
        <v>20</v>
      </c>
      <c r="B21" s="21" t="s">
        <v>5</v>
      </c>
      <c r="C21" s="21" t="s">
        <v>93</v>
      </c>
      <c r="D21" s="21" t="s">
        <v>85</v>
      </c>
      <c r="E21" s="21" t="s">
        <v>94</v>
      </c>
      <c r="F21" s="67" t="s">
        <v>95</v>
      </c>
      <c r="G21" s="24" t="s">
        <v>51</v>
      </c>
      <c r="H21" s="23">
        <v>4500</v>
      </c>
      <c r="I21" s="23">
        <f>IF(H21&lt;=5869,5869,IF(H21&lt;=31884,H21,31884))</f>
        <v>5869</v>
      </c>
      <c r="J21" s="23">
        <f>IF(H21&lt;=5869,5869,IF(H21&lt;=31884,H21,31884))</f>
        <v>5869</v>
      </c>
      <c r="K21" s="23">
        <f>IF(H21&lt;=5869,5869,IF(H21&lt;=31884,H21,31884))</f>
        <v>5869</v>
      </c>
      <c r="L21" s="35">
        <f>ROUND(I21*0.16,2)</f>
        <v>939.04</v>
      </c>
      <c r="M21" s="35">
        <f>ROUND(I21*0.005,2)</f>
        <v>29.35</v>
      </c>
      <c r="N21" s="35">
        <f>ROUND(J21*0.011,2)</f>
        <v>64.56</v>
      </c>
      <c r="O21" s="35">
        <f>ROUND(K21*0.098,2)</f>
        <v>575.16</v>
      </c>
      <c r="P21" s="35">
        <f>SUM(L21:O21)</f>
        <v>1608.11</v>
      </c>
      <c r="Q21" s="35">
        <f>ROUND(I21*0.08,2)</f>
        <v>469.52</v>
      </c>
      <c r="R21" s="35">
        <f>ROUND(K21*0.02+3,2)</f>
        <v>120.38</v>
      </c>
      <c r="S21" s="35">
        <f>I21*0.005</f>
        <v>29.345</v>
      </c>
      <c r="T21" s="35">
        <f>SUM(Q21:S21)</f>
        <v>619.245</v>
      </c>
      <c r="U21" s="35">
        <f>T21+P21</f>
        <v>2227.355</v>
      </c>
      <c r="V21" s="44">
        <v>44471</v>
      </c>
      <c r="W21" s="24"/>
      <c r="X21" s="24" t="s">
        <v>44</v>
      </c>
    </row>
    <row r="22" s="16" customFormat="1" spans="1:24">
      <c r="A22" s="21">
        <v>21</v>
      </c>
      <c r="B22" s="21" t="s">
        <v>5</v>
      </c>
      <c r="C22" s="21" t="s">
        <v>96</v>
      </c>
      <c r="D22" s="21" t="s">
        <v>85</v>
      </c>
      <c r="E22" s="21" t="s">
        <v>97</v>
      </c>
      <c r="F22" s="67" t="s">
        <v>98</v>
      </c>
      <c r="G22" s="24" t="s">
        <v>51</v>
      </c>
      <c r="H22" s="23">
        <v>4500</v>
      </c>
      <c r="I22" s="23">
        <f>IF(H22&lt;=5869,5869,IF(H22&lt;=31884,H22,31884))</f>
        <v>5869</v>
      </c>
      <c r="J22" s="23">
        <f>IF(H22&lt;=5869,5869,IF(H22&lt;=31884,H22,31884))</f>
        <v>5869</v>
      </c>
      <c r="K22" s="23">
        <f>IF(H22&lt;=5869,5869,IF(H22&lt;=31884,H22,31884))</f>
        <v>5869</v>
      </c>
      <c r="L22" s="35">
        <f>ROUND(I22*0.16,2)</f>
        <v>939.04</v>
      </c>
      <c r="M22" s="35">
        <f>ROUND(I22*0.005,2)</f>
        <v>29.35</v>
      </c>
      <c r="N22" s="35">
        <f>ROUND(J22*0.011,2)</f>
        <v>64.56</v>
      </c>
      <c r="O22" s="35">
        <f>ROUND(K22*0.098,2)</f>
        <v>575.16</v>
      </c>
      <c r="P22" s="35">
        <f>SUM(L22:O22)</f>
        <v>1608.11</v>
      </c>
      <c r="Q22" s="35">
        <f>ROUND(I22*0.08,2)</f>
        <v>469.52</v>
      </c>
      <c r="R22" s="35">
        <f>ROUND(K22*0.02+3,2)</f>
        <v>120.38</v>
      </c>
      <c r="S22" s="35">
        <f>I22*0.005</f>
        <v>29.345</v>
      </c>
      <c r="T22" s="35">
        <f>SUM(Q22:S22)</f>
        <v>619.245</v>
      </c>
      <c r="U22" s="35">
        <f>T22+P22</f>
        <v>2227.355</v>
      </c>
      <c r="V22" s="44">
        <v>44471</v>
      </c>
      <c r="W22" s="24"/>
      <c r="X22" s="24" t="s">
        <v>44</v>
      </c>
    </row>
    <row r="23" s="16" customFormat="1" spans="1:24">
      <c r="A23" s="21">
        <v>22</v>
      </c>
      <c r="B23" s="21" t="s">
        <v>5</v>
      </c>
      <c r="C23" s="21" t="s">
        <v>99</v>
      </c>
      <c r="D23" s="21" t="s">
        <v>85</v>
      </c>
      <c r="E23" s="21" t="s">
        <v>100</v>
      </c>
      <c r="F23" s="67" t="s">
        <v>101</v>
      </c>
      <c r="G23" s="24" t="s">
        <v>51</v>
      </c>
      <c r="H23" s="23">
        <v>5000</v>
      </c>
      <c r="I23" s="23">
        <f t="shared" ref="I23:I34" si="13">IF(H23&lt;=5869,5869,IF(H23&lt;=31884,H23,31884))</f>
        <v>5869</v>
      </c>
      <c r="J23" s="23">
        <f t="shared" ref="J23:J34" si="14">IF(H23&lt;=5869,5869,IF(H23&lt;=31884,H23,31884))</f>
        <v>5869</v>
      </c>
      <c r="K23" s="23">
        <f t="shared" ref="K23:K34" si="15">IF(H23&lt;=5869,5869,IF(H23&lt;=31884,H23,31884))</f>
        <v>5869</v>
      </c>
      <c r="L23" s="35">
        <f t="shared" ref="L23:L34" si="16">ROUND(I23*0.16,2)</f>
        <v>939.04</v>
      </c>
      <c r="M23" s="35">
        <f t="shared" ref="M23:M34" si="17">ROUND(I23*0.005,2)</f>
        <v>29.35</v>
      </c>
      <c r="N23" s="35">
        <f t="shared" ref="N23:N29" si="18">ROUND(J23*0.011,2)</f>
        <v>64.56</v>
      </c>
      <c r="O23" s="35">
        <f t="shared" ref="O23:O34" si="19">ROUND(K23*0.098,2)</f>
        <v>575.16</v>
      </c>
      <c r="P23" s="35">
        <f t="shared" ref="P23:P34" si="20">SUM(L23:O23)</f>
        <v>1608.11</v>
      </c>
      <c r="Q23" s="35">
        <f t="shared" ref="Q23:Q34" si="21">ROUND(I23*0.08,2)</f>
        <v>469.52</v>
      </c>
      <c r="R23" s="35">
        <f t="shared" ref="R23:R34" si="22">ROUND(K23*0.02+3,2)</f>
        <v>120.38</v>
      </c>
      <c r="S23" s="35">
        <f t="shared" ref="S23:S34" si="23">I23*0.005</f>
        <v>29.345</v>
      </c>
      <c r="T23" s="35">
        <f t="shared" ref="T23:T34" si="24">SUM(Q23:S23)</f>
        <v>619.245</v>
      </c>
      <c r="U23" s="35">
        <f t="shared" ref="U23:U34" si="25">T23+P23</f>
        <v>2227.355</v>
      </c>
      <c r="V23" s="44">
        <v>44471</v>
      </c>
      <c r="W23" s="24"/>
      <c r="X23" s="24" t="s">
        <v>44</v>
      </c>
    </row>
    <row r="24" s="16" customFormat="1" spans="1:24">
      <c r="A24" s="21">
        <v>23</v>
      </c>
      <c r="B24" s="21" t="s">
        <v>5</v>
      </c>
      <c r="C24" s="21" t="s">
        <v>102</v>
      </c>
      <c r="D24" s="21" t="s">
        <v>85</v>
      </c>
      <c r="E24" s="21"/>
      <c r="F24" s="67" t="s">
        <v>103</v>
      </c>
      <c r="G24" s="24" t="s">
        <v>51</v>
      </c>
      <c r="H24" s="23">
        <v>4500</v>
      </c>
      <c r="I24" s="23">
        <f t="shared" si="13"/>
        <v>5869</v>
      </c>
      <c r="J24" s="23">
        <f t="shared" si="14"/>
        <v>5869</v>
      </c>
      <c r="K24" s="23">
        <f t="shared" si="15"/>
        <v>5869</v>
      </c>
      <c r="L24" s="35">
        <f t="shared" si="16"/>
        <v>939.04</v>
      </c>
      <c r="M24" s="35">
        <f t="shared" si="17"/>
        <v>29.35</v>
      </c>
      <c r="N24" s="35">
        <f t="shared" si="18"/>
        <v>64.56</v>
      </c>
      <c r="O24" s="35">
        <f t="shared" si="19"/>
        <v>575.16</v>
      </c>
      <c r="P24" s="35">
        <f t="shared" si="20"/>
        <v>1608.11</v>
      </c>
      <c r="Q24" s="35">
        <f t="shared" si="21"/>
        <v>469.52</v>
      </c>
      <c r="R24" s="35">
        <f t="shared" si="22"/>
        <v>120.38</v>
      </c>
      <c r="S24" s="35">
        <f t="shared" si="23"/>
        <v>29.345</v>
      </c>
      <c r="T24" s="35">
        <f t="shared" si="24"/>
        <v>619.245</v>
      </c>
      <c r="U24" s="35">
        <f t="shared" si="25"/>
        <v>2227.355</v>
      </c>
      <c r="V24" s="44">
        <v>44471</v>
      </c>
      <c r="W24" s="24"/>
      <c r="X24" s="24" t="s">
        <v>44</v>
      </c>
    </row>
    <row r="25" s="16" customFormat="1" spans="1:24">
      <c r="A25" s="21">
        <v>24</v>
      </c>
      <c r="B25" s="21" t="s">
        <v>5</v>
      </c>
      <c r="C25" s="21" t="s">
        <v>104</v>
      </c>
      <c r="D25" s="21" t="s">
        <v>68</v>
      </c>
      <c r="E25" s="21"/>
      <c r="F25" s="67" t="s">
        <v>105</v>
      </c>
      <c r="G25" s="24" t="s">
        <v>51</v>
      </c>
      <c r="H25" s="23">
        <v>5000</v>
      </c>
      <c r="I25" s="23">
        <f t="shared" si="13"/>
        <v>5869</v>
      </c>
      <c r="J25" s="23">
        <f t="shared" si="14"/>
        <v>5869</v>
      </c>
      <c r="K25" s="23">
        <f t="shared" si="15"/>
        <v>5869</v>
      </c>
      <c r="L25" s="35">
        <f t="shared" si="16"/>
        <v>939.04</v>
      </c>
      <c r="M25" s="35">
        <f t="shared" si="17"/>
        <v>29.35</v>
      </c>
      <c r="N25" s="35">
        <f t="shared" si="18"/>
        <v>64.56</v>
      </c>
      <c r="O25" s="35">
        <f t="shared" si="19"/>
        <v>575.16</v>
      </c>
      <c r="P25" s="35">
        <f t="shared" si="20"/>
        <v>1608.11</v>
      </c>
      <c r="Q25" s="35">
        <f t="shared" si="21"/>
        <v>469.52</v>
      </c>
      <c r="R25" s="35">
        <f t="shared" si="22"/>
        <v>120.38</v>
      </c>
      <c r="S25" s="35">
        <f t="shared" si="23"/>
        <v>29.345</v>
      </c>
      <c r="T25" s="35">
        <f t="shared" si="24"/>
        <v>619.245</v>
      </c>
      <c r="U25" s="35">
        <f t="shared" si="25"/>
        <v>2227.355</v>
      </c>
      <c r="V25" s="40">
        <v>44409</v>
      </c>
      <c r="W25" s="24"/>
      <c r="X25" s="24" t="s">
        <v>44</v>
      </c>
    </row>
    <row r="26" spans="1:24">
      <c r="A26" s="21">
        <v>25</v>
      </c>
      <c r="B26" s="21" t="s">
        <v>5</v>
      </c>
      <c r="C26" s="21" t="s">
        <v>106</v>
      </c>
      <c r="D26" s="21" t="s">
        <v>85</v>
      </c>
      <c r="E26" s="21"/>
      <c r="F26" s="24" t="s">
        <v>107</v>
      </c>
      <c r="G26" s="24" t="s">
        <v>51</v>
      </c>
      <c r="H26" s="23">
        <v>4000</v>
      </c>
      <c r="I26" s="23">
        <f t="shared" si="13"/>
        <v>5869</v>
      </c>
      <c r="J26" s="23">
        <f t="shared" si="14"/>
        <v>5869</v>
      </c>
      <c r="K26" s="23">
        <f t="shared" si="15"/>
        <v>5869</v>
      </c>
      <c r="L26" s="35">
        <f t="shared" si="16"/>
        <v>939.04</v>
      </c>
      <c r="M26" s="35">
        <f t="shared" si="17"/>
        <v>29.35</v>
      </c>
      <c r="N26" s="35">
        <f>ROUND(J26*0.011,2)</f>
        <v>64.56</v>
      </c>
      <c r="O26" s="35">
        <f t="shared" si="19"/>
        <v>575.16</v>
      </c>
      <c r="P26" s="35">
        <f t="shared" si="20"/>
        <v>1608.11</v>
      </c>
      <c r="Q26" s="35">
        <f t="shared" si="21"/>
        <v>469.52</v>
      </c>
      <c r="R26" s="35">
        <f t="shared" si="22"/>
        <v>120.38</v>
      </c>
      <c r="S26" s="35">
        <f t="shared" si="23"/>
        <v>29.345</v>
      </c>
      <c r="T26" s="35">
        <f t="shared" si="24"/>
        <v>619.245</v>
      </c>
      <c r="U26" s="35">
        <f t="shared" si="25"/>
        <v>2227.355</v>
      </c>
      <c r="V26" s="40">
        <v>44743</v>
      </c>
      <c r="W26" s="24"/>
      <c r="X26" s="24" t="s">
        <v>44</v>
      </c>
    </row>
    <row r="27" s="16" customFormat="1" spans="1:24">
      <c r="A27" s="21">
        <v>26</v>
      </c>
      <c r="B27" s="21" t="s">
        <v>5</v>
      </c>
      <c r="C27" s="21" t="s">
        <v>108</v>
      </c>
      <c r="D27" s="21" t="s">
        <v>85</v>
      </c>
      <c r="E27" s="21"/>
      <c r="F27" s="67" t="s">
        <v>109</v>
      </c>
      <c r="G27" s="21" t="s">
        <v>48</v>
      </c>
      <c r="H27" s="23">
        <v>6000</v>
      </c>
      <c r="I27" s="23">
        <f t="shared" si="13"/>
        <v>6000</v>
      </c>
      <c r="J27" s="23">
        <f t="shared" si="14"/>
        <v>6000</v>
      </c>
      <c r="K27" s="23">
        <f t="shared" si="15"/>
        <v>6000</v>
      </c>
      <c r="L27" s="35">
        <f t="shared" si="16"/>
        <v>960</v>
      </c>
      <c r="M27" s="35">
        <f t="shared" si="17"/>
        <v>30</v>
      </c>
      <c r="N27" s="35">
        <f t="shared" si="18"/>
        <v>66</v>
      </c>
      <c r="O27" s="35">
        <f t="shared" si="19"/>
        <v>588</v>
      </c>
      <c r="P27" s="35">
        <f t="shared" si="20"/>
        <v>1644</v>
      </c>
      <c r="Q27" s="35">
        <f t="shared" si="21"/>
        <v>480</v>
      </c>
      <c r="R27" s="35">
        <f t="shared" si="22"/>
        <v>123</v>
      </c>
      <c r="S27" s="35">
        <f t="shared" si="23"/>
        <v>30</v>
      </c>
      <c r="T27" s="35">
        <f t="shared" si="24"/>
        <v>633</v>
      </c>
      <c r="U27" s="35">
        <f t="shared" si="25"/>
        <v>2277</v>
      </c>
      <c r="V27" s="62">
        <v>44805</v>
      </c>
      <c r="W27" s="24"/>
      <c r="X27" s="24" t="s">
        <v>44</v>
      </c>
    </row>
    <row r="28" s="16" customFormat="1" spans="1:24">
      <c r="A28" s="21">
        <v>27</v>
      </c>
      <c r="B28" s="21" t="s">
        <v>5</v>
      </c>
      <c r="C28" s="21" t="s">
        <v>110</v>
      </c>
      <c r="D28" s="21" t="s">
        <v>85</v>
      </c>
      <c r="E28" s="21" t="s">
        <v>94</v>
      </c>
      <c r="F28" s="67" t="s">
        <v>111</v>
      </c>
      <c r="G28" s="24" t="s">
        <v>51</v>
      </c>
      <c r="H28" s="23">
        <v>5000</v>
      </c>
      <c r="I28" s="23">
        <f t="shared" si="13"/>
        <v>5869</v>
      </c>
      <c r="J28" s="23">
        <f t="shared" si="14"/>
        <v>5869</v>
      </c>
      <c r="K28" s="23">
        <f t="shared" si="15"/>
        <v>5869</v>
      </c>
      <c r="L28" s="35">
        <f t="shared" si="16"/>
        <v>939.04</v>
      </c>
      <c r="M28" s="35">
        <f t="shared" si="17"/>
        <v>29.35</v>
      </c>
      <c r="N28" s="35">
        <f t="shared" si="18"/>
        <v>64.56</v>
      </c>
      <c r="O28" s="35">
        <f t="shared" si="19"/>
        <v>575.16</v>
      </c>
      <c r="P28" s="35">
        <f t="shared" si="20"/>
        <v>1608.11</v>
      </c>
      <c r="Q28" s="35">
        <f t="shared" si="21"/>
        <v>469.52</v>
      </c>
      <c r="R28" s="35">
        <f t="shared" si="22"/>
        <v>120.38</v>
      </c>
      <c r="S28" s="35">
        <f t="shared" si="23"/>
        <v>29.345</v>
      </c>
      <c r="T28" s="35">
        <f t="shared" si="24"/>
        <v>619.245</v>
      </c>
      <c r="U28" s="35">
        <f t="shared" si="25"/>
        <v>2227.355</v>
      </c>
      <c r="V28" s="44">
        <v>44836</v>
      </c>
      <c r="W28" s="24"/>
      <c r="X28" s="24" t="s">
        <v>44</v>
      </c>
    </row>
    <row r="29" s="16" customFormat="1" spans="1:24">
      <c r="A29" s="21">
        <v>28</v>
      </c>
      <c r="B29" s="21" t="s">
        <v>5</v>
      </c>
      <c r="C29" s="21" t="s">
        <v>112</v>
      </c>
      <c r="D29" s="21" t="s">
        <v>85</v>
      </c>
      <c r="E29" s="21" t="s">
        <v>113</v>
      </c>
      <c r="F29" s="67" t="s">
        <v>114</v>
      </c>
      <c r="G29" s="24" t="s">
        <v>51</v>
      </c>
      <c r="H29" s="23">
        <v>5000</v>
      </c>
      <c r="I29" s="23">
        <f t="shared" si="13"/>
        <v>5869</v>
      </c>
      <c r="J29" s="23">
        <f t="shared" si="14"/>
        <v>5869</v>
      </c>
      <c r="K29" s="23">
        <f t="shared" si="15"/>
        <v>5869</v>
      </c>
      <c r="L29" s="35">
        <f t="shared" si="16"/>
        <v>939.04</v>
      </c>
      <c r="M29" s="35">
        <f t="shared" si="17"/>
        <v>29.35</v>
      </c>
      <c r="N29" s="35">
        <f t="shared" si="18"/>
        <v>64.56</v>
      </c>
      <c r="O29" s="35">
        <f t="shared" si="19"/>
        <v>575.16</v>
      </c>
      <c r="P29" s="35">
        <f t="shared" si="20"/>
        <v>1608.11</v>
      </c>
      <c r="Q29" s="35">
        <f t="shared" si="21"/>
        <v>469.52</v>
      </c>
      <c r="R29" s="35">
        <f t="shared" si="22"/>
        <v>120.38</v>
      </c>
      <c r="S29" s="35">
        <f t="shared" si="23"/>
        <v>29.345</v>
      </c>
      <c r="T29" s="35">
        <f t="shared" si="24"/>
        <v>619.245</v>
      </c>
      <c r="U29" s="35">
        <f t="shared" si="25"/>
        <v>2227.355</v>
      </c>
      <c r="V29" s="44">
        <v>44836</v>
      </c>
      <c r="W29" s="24"/>
      <c r="X29" s="24" t="s">
        <v>44</v>
      </c>
    </row>
    <row r="30" s="16" customFormat="1" spans="1:24">
      <c r="A30" s="54">
        <v>29</v>
      </c>
      <c r="B30" s="54" t="s">
        <v>5</v>
      </c>
      <c r="C30" s="54" t="s">
        <v>115</v>
      </c>
      <c r="D30" s="54" t="s">
        <v>85</v>
      </c>
      <c r="E30" s="54" t="s">
        <v>86</v>
      </c>
      <c r="F30" s="71" t="s">
        <v>116</v>
      </c>
      <c r="G30" s="57" t="s">
        <v>51</v>
      </c>
      <c r="H30" s="54">
        <v>5000</v>
      </c>
      <c r="I30" s="59">
        <f>IF(H30&lt;=5869,5869,IF(H30&lt;=31884,H30,31884))</f>
        <v>5869</v>
      </c>
      <c r="J30" s="59">
        <f>IF(H30&lt;=5869,5869,IF(H30&lt;=31884,H30,31884))</f>
        <v>5869</v>
      </c>
      <c r="K30" s="59">
        <f>IF(H30&lt;=5869,5869,IF(H30&lt;=31884,H30,31884))</f>
        <v>5869</v>
      </c>
      <c r="L30" s="60">
        <f>ROUND(I30*0.16,2)</f>
        <v>939.04</v>
      </c>
      <c r="M30" s="60">
        <f>ROUND(I30*0.005,2)</f>
        <v>29.35</v>
      </c>
      <c r="N30" s="60">
        <f>ROUND(J30*0.011,2)</f>
        <v>64.56</v>
      </c>
      <c r="O30" s="60">
        <f>ROUND(K30*0.098,2)</f>
        <v>575.16</v>
      </c>
      <c r="P30" s="60">
        <f>SUM(L30:O30)</f>
        <v>1608.11</v>
      </c>
      <c r="Q30" s="60">
        <f>ROUND(I30*0.08,2)</f>
        <v>469.52</v>
      </c>
      <c r="R30" s="60">
        <f>ROUND(K30*0.02+3,2)</f>
        <v>120.38</v>
      </c>
      <c r="S30" s="60">
        <f>I30*0.005</f>
        <v>29.345</v>
      </c>
      <c r="T30" s="60">
        <f>SUM(Q30:S30)</f>
        <v>619.245</v>
      </c>
      <c r="U30" s="60">
        <f>T30+P30</f>
        <v>2227.355</v>
      </c>
      <c r="V30" s="63">
        <v>44866</v>
      </c>
      <c r="W30" s="57"/>
      <c r="X30" s="57" t="s">
        <v>44</v>
      </c>
    </row>
    <row r="31" s="16" customFormat="1" spans="1:24">
      <c r="A31" s="54">
        <v>30</v>
      </c>
      <c r="B31" s="54" t="s">
        <v>5</v>
      </c>
      <c r="C31" s="54" t="s">
        <v>117</v>
      </c>
      <c r="D31" s="54" t="s">
        <v>85</v>
      </c>
      <c r="E31" s="54" t="s">
        <v>113</v>
      </c>
      <c r="F31" s="71" t="s">
        <v>118</v>
      </c>
      <c r="G31" s="57" t="s">
        <v>51</v>
      </c>
      <c r="H31" s="54">
        <v>2900</v>
      </c>
      <c r="I31" s="59">
        <f>IF(H31&lt;=5869,5869,IF(H31&lt;=31884,H31,31884))</f>
        <v>5869</v>
      </c>
      <c r="J31" s="59">
        <f>IF(H31&lt;=5869,5869,IF(H31&lt;=31884,H31,31884))</f>
        <v>5869</v>
      </c>
      <c r="K31" s="59">
        <f>IF(H31&lt;=5869,5869,IF(H31&lt;=31884,H31,31884))</f>
        <v>5869</v>
      </c>
      <c r="L31" s="60">
        <f>ROUND(I31*0.16,2)</f>
        <v>939.04</v>
      </c>
      <c r="M31" s="60">
        <f>ROUND(I31*0.005,2)</f>
        <v>29.35</v>
      </c>
      <c r="N31" s="60">
        <f>ROUND(J31*0.011,2)</f>
        <v>64.56</v>
      </c>
      <c r="O31" s="60">
        <f>ROUND(K31*0.098,2)</f>
        <v>575.16</v>
      </c>
      <c r="P31" s="60">
        <f>SUM(L31:O31)</f>
        <v>1608.11</v>
      </c>
      <c r="Q31" s="60">
        <f>ROUND(I31*0.08,2)</f>
        <v>469.52</v>
      </c>
      <c r="R31" s="60">
        <f>ROUND(K31*0.02+3,2)</f>
        <v>120.38</v>
      </c>
      <c r="S31" s="60">
        <f>I31*0.005</f>
        <v>29.345</v>
      </c>
      <c r="T31" s="60">
        <f>SUM(Q31:S31)</f>
        <v>619.245</v>
      </c>
      <c r="U31" s="60">
        <f>T31+P31</f>
        <v>2227.355</v>
      </c>
      <c r="V31" s="61">
        <v>44866</v>
      </c>
      <c r="W31" s="57"/>
      <c r="X31" s="57" t="s">
        <v>44</v>
      </c>
    </row>
    <row r="32" s="16" customFormat="1" spans="1:24">
      <c r="A32" s="21">
        <v>31</v>
      </c>
      <c r="B32" s="21" t="s">
        <v>11</v>
      </c>
      <c r="C32" s="21" t="s">
        <v>119</v>
      </c>
      <c r="D32" s="21" t="s">
        <v>82</v>
      </c>
      <c r="E32" s="21"/>
      <c r="F32" s="26" t="s">
        <v>120</v>
      </c>
      <c r="G32" s="23" t="s">
        <v>48</v>
      </c>
      <c r="H32" s="23">
        <v>5000</v>
      </c>
      <c r="I32" s="23">
        <f>IF(H32&lt;=5869,5869,IF(H32&lt;=31884,H32,31884))</f>
        <v>5869</v>
      </c>
      <c r="J32" s="23">
        <f>IF(H32&lt;=5869,5869,IF(H32&lt;=31884,H32,31884))</f>
        <v>5869</v>
      </c>
      <c r="K32" s="23">
        <f>IF(H32&lt;=5869,5869,IF(H32&lt;=31884,H32,31884))</f>
        <v>5869</v>
      </c>
      <c r="L32" s="35">
        <f>ROUND(I32*0.16,2)</f>
        <v>939.04</v>
      </c>
      <c r="M32" s="35">
        <f>ROUND(I32*0.005,2)</f>
        <v>29.35</v>
      </c>
      <c r="N32" s="35">
        <f>ROUND(J32*0.002,2)</f>
        <v>11.74</v>
      </c>
      <c r="O32" s="35">
        <f>ROUND(K32*0.098,2)</f>
        <v>575.16</v>
      </c>
      <c r="P32" s="35">
        <f>SUM(L32:O32)</f>
        <v>1555.29</v>
      </c>
      <c r="Q32" s="35">
        <f>ROUND(I32*0.08,2)</f>
        <v>469.52</v>
      </c>
      <c r="R32" s="35">
        <f>ROUND(K32*0.02+3,2)</f>
        <v>120.38</v>
      </c>
      <c r="S32" s="35">
        <f>I32*0.005</f>
        <v>29.345</v>
      </c>
      <c r="T32" s="35">
        <f>SUM(Q32:S32)</f>
        <v>619.245</v>
      </c>
      <c r="U32" s="35">
        <f>T32+P32</f>
        <v>2174.535</v>
      </c>
      <c r="V32" s="40">
        <v>44743</v>
      </c>
      <c r="W32" s="24"/>
      <c r="X32" s="24" t="s">
        <v>44</v>
      </c>
    </row>
    <row r="33" s="16" customFormat="1" spans="1:24">
      <c r="A33" s="21">
        <v>32</v>
      </c>
      <c r="B33" s="21" t="s">
        <v>7</v>
      </c>
      <c r="C33" s="21" t="s">
        <v>121</v>
      </c>
      <c r="D33" s="26" t="s">
        <v>122</v>
      </c>
      <c r="E33" s="26" t="s">
        <v>123</v>
      </c>
      <c r="F33" s="26" t="s">
        <v>124</v>
      </c>
      <c r="G33" s="23" t="s">
        <v>51</v>
      </c>
      <c r="H33" s="23">
        <v>5000</v>
      </c>
      <c r="I33" s="23">
        <f>IF(H33&lt;=5869,5869,IF(H33&lt;=31884,H33,31884))</f>
        <v>5869</v>
      </c>
      <c r="J33" s="23">
        <f>IF(H33&lt;=5869,5869,IF(H33&lt;=31884,H33,31884))</f>
        <v>5869</v>
      </c>
      <c r="K33" s="23">
        <f>IF(H33&lt;=5869,5869,IF(H33&lt;=31884,H33,31884))</f>
        <v>5869</v>
      </c>
      <c r="L33" s="35">
        <f>ROUND(I33*0.16,2)</f>
        <v>939.04</v>
      </c>
      <c r="M33" s="35">
        <f>ROUND(I33*0.005,2)</f>
        <v>29.35</v>
      </c>
      <c r="N33" s="35">
        <f t="shared" ref="N33:N35" si="26">ROUND(J33*0.009,2)</f>
        <v>52.82</v>
      </c>
      <c r="O33" s="35">
        <f>ROUND(K33*0.098,2)</f>
        <v>575.16</v>
      </c>
      <c r="P33" s="35">
        <f>SUM(L33:O33)</f>
        <v>1596.37</v>
      </c>
      <c r="Q33" s="35">
        <f>ROUND(I33*0.08,2)</f>
        <v>469.52</v>
      </c>
      <c r="R33" s="35">
        <f>ROUND(K33*0.02+3,2)</f>
        <v>120.38</v>
      </c>
      <c r="S33" s="35">
        <f>I33*0.005</f>
        <v>29.345</v>
      </c>
      <c r="T33" s="35">
        <f>SUM(Q33:S33)</f>
        <v>619.245</v>
      </c>
      <c r="U33" s="35">
        <f>T33+P33</f>
        <v>2215.615</v>
      </c>
      <c r="V33" s="40">
        <v>44409</v>
      </c>
      <c r="W33" s="24"/>
      <c r="X33" s="24" t="s">
        <v>44</v>
      </c>
    </row>
    <row r="34" spans="1:24">
      <c r="A34" s="21">
        <v>33</v>
      </c>
      <c r="B34" s="21" t="s">
        <v>7</v>
      </c>
      <c r="C34" s="21" t="s">
        <v>125</v>
      </c>
      <c r="D34" s="21" t="s">
        <v>122</v>
      </c>
      <c r="E34" s="21"/>
      <c r="F34" s="67" t="s">
        <v>126</v>
      </c>
      <c r="G34" s="24" t="s">
        <v>51</v>
      </c>
      <c r="H34" s="23">
        <v>5200</v>
      </c>
      <c r="I34" s="23">
        <f>IF(H34&lt;=5869,5869,IF(H34&lt;=31884,H34,31884))</f>
        <v>5869</v>
      </c>
      <c r="J34" s="23">
        <f>IF(H34&lt;=5869,5869,IF(H34&lt;=31884,H34,31884))</f>
        <v>5869</v>
      </c>
      <c r="K34" s="23">
        <f>IF(H34&lt;=5869,5869,IF(H34&lt;=31884,H34,31884))</f>
        <v>5869</v>
      </c>
      <c r="L34" s="35">
        <f>ROUND(I34*0.16,2)</f>
        <v>939.04</v>
      </c>
      <c r="M34" s="35">
        <f>ROUND(I34*0.005,2)</f>
        <v>29.35</v>
      </c>
      <c r="N34" s="35">
        <f>ROUND(J34*0.009,2)</f>
        <v>52.82</v>
      </c>
      <c r="O34" s="35">
        <f>ROUND(K34*0.098,2)</f>
        <v>575.16</v>
      </c>
      <c r="P34" s="35">
        <f>SUM(L34:O34)</f>
        <v>1596.37</v>
      </c>
      <c r="Q34" s="35">
        <f>ROUND(I34*0.08,2)</f>
        <v>469.52</v>
      </c>
      <c r="R34" s="35">
        <f>ROUND(K34*0.02+3,2)</f>
        <v>120.38</v>
      </c>
      <c r="S34" s="35">
        <f>I34*0.005</f>
        <v>29.345</v>
      </c>
      <c r="T34" s="35">
        <f>SUM(Q34:S34)</f>
        <v>619.245</v>
      </c>
      <c r="U34" s="35">
        <f>T34+P34</f>
        <v>2215.615</v>
      </c>
      <c r="V34" s="40">
        <v>44743</v>
      </c>
      <c r="W34" s="24"/>
      <c r="X34" s="24" t="s">
        <v>44</v>
      </c>
    </row>
    <row r="35" spans="1:24">
      <c r="A35" s="54">
        <v>34</v>
      </c>
      <c r="B35" s="54" t="s">
        <v>7</v>
      </c>
      <c r="C35" s="54" t="s">
        <v>127</v>
      </c>
      <c r="D35" s="54" t="s">
        <v>128</v>
      </c>
      <c r="E35" s="54"/>
      <c r="F35" s="71" t="s">
        <v>129</v>
      </c>
      <c r="G35" s="55" t="s">
        <v>51</v>
      </c>
      <c r="H35" s="56">
        <v>4000</v>
      </c>
      <c r="I35" s="56">
        <f>IF(H35&lt;=5869,5869,IF(H35&lt;=31884,H35,31884))</f>
        <v>5869</v>
      </c>
      <c r="J35" s="56">
        <f>IF(H35&lt;=5869,5869,IF(H35&lt;=31884,H35,31884))</f>
        <v>5869</v>
      </c>
      <c r="K35" s="56">
        <f>IF(H35&lt;=5869,5869,IF(H35&lt;=31884,H35,31884))</f>
        <v>5869</v>
      </c>
      <c r="L35" s="58">
        <f>ROUND(I35*0.16,2)</f>
        <v>939.04</v>
      </c>
      <c r="M35" s="58">
        <f>ROUND(I35*0.005,2)</f>
        <v>29.35</v>
      </c>
      <c r="N35" s="58">
        <f>ROUND(J35*0.009,2)</f>
        <v>52.82</v>
      </c>
      <c r="O35" s="58">
        <f>ROUND(K35*0.098,2)</f>
        <v>575.16</v>
      </c>
      <c r="P35" s="58">
        <f>SUM(L35:O35)</f>
        <v>1596.37</v>
      </c>
      <c r="Q35" s="58">
        <f>ROUND(I35*0.08,2)</f>
        <v>469.52</v>
      </c>
      <c r="R35" s="58">
        <f>ROUND(K35*0.02+3,2)</f>
        <v>120.38</v>
      </c>
      <c r="S35" s="58">
        <f>I35*0.005</f>
        <v>29.345</v>
      </c>
      <c r="T35" s="58">
        <f>SUM(Q35:S35)</f>
        <v>619.245</v>
      </c>
      <c r="U35" s="58">
        <f>T35+P35</f>
        <v>2215.615</v>
      </c>
      <c r="V35" s="63">
        <v>44866</v>
      </c>
      <c r="W35" s="55"/>
      <c r="X35" s="55" t="s">
        <v>44</v>
      </c>
    </row>
    <row r="36" spans="1:24">
      <c r="A36" s="54">
        <v>35</v>
      </c>
      <c r="B36" s="54" t="s">
        <v>7</v>
      </c>
      <c r="C36" s="54" t="s">
        <v>130</v>
      </c>
      <c r="D36" s="54" t="s">
        <v>56</v>
      </c>
      <c r="E36" s="54"/>
      <c r="F36" s="71" t="s">
        <v>131</v>
      </c>
      <c r="G36" s="54" t="s">
        <v>48</v>
      </c>
      <c r="H36" s="56">
        <v>4400</v>
      </c>
      <c r="I36" s="56">
        <f>IF(H36&lt;=5869,5869,IF(H36&lt;=31884,H36,31884))</f>
        <v>5869</v>
      </c>
      <c r="J36" s="56">
        <f>IF(H36&lt;=5869,5869,IF(H36&lt;=31884,H36,31884))</f>
        <v>5869</v>
      </c>
      <c r="K36" s="56">
        <f>IF(H36&lt;=5869,5869,IF(H36&lt;=31884,H36,31884))</f>
        <v>5869</v>
      </c>
      <c r="L36" s="58">
        <f>ROUND(I36*0.16,2)</f>
        <v>939.04</v>
      </c>
      <c r="M36" s="58">
        <f>ROUND(I36*0.005,2)</f>
        <v>29.35</v>
      </c>
      <c r="N36" s="58">
        <f>ROUND(J36*0.009,2)</f>
        <v>52.82</v>
      </c>
      <c r="O36" s="58">
        <f>ROUND(K36*0.098,2)</f>
        <v>575.16</v>
      </c>
      <c r="P36" s="58">
        <f>SUM(L36:O36)</f>
        <v>1596.37</v>
      </c>
      <c r="Q36" s="58">
        <f>ROUND(I36*0.08,2)</f>
        <v>469.52</v>
      </c>
      <c r="R36" s="58">
        <f>ROUND(K36*0.02+3,2)</f>
        <v>120.38</v>
      </c>
      <c r="S36" s="58">
        <f>I36*0.005</f>
        <v>29.345</v>
      </c>
      <c r="T36" s="58">
        <f>SUM(Q36:S36)</f>
        <v>619.245</v>
      </c>
      <c r="U36" s="58">
        <f>T36+P36</f>
        <v>2215.615</v>
      </c>
      <c r="V36" s="61">
        <v>44866</v>
      </c>
      <c r="W36" s="55"/>
      <c r="X36" s="55" t="s">
        <v>44</v>
      </c>
    </row>
    <row r="37" s="53" customFormat="1" ht="14.25" spans="1:24">
      <c r="A37" s="54">
        <v>36</v>
      </c>
      <c r="B37" s="54" t="s">
        <v>11</v>
      </c>
      <c r="C37" s="54" t="s">
        <v>132</v>
      </c>
      <c r="D37" s="54" t="s">
        <v>56</v>
      </c>
      <c r="E37" s="54"/>
      <c r="F37" s="71" t="s">
        <v>133</v>
      </c>
      <c r="G37" s="56" t="s">
        <v>43</v>
      </c>
      <c r="H37" s="56">
        <v>5500</v>
      </c>
      <c r="I37" s="56">
        <f>IF(H37&lt;=5869,5869,IF(H37&lt;=31884,H37,31884))</f>
        <v>5869</v>
      </c>
      <c r="J37" s="56">
        <f>IF(H37&lt;=5869,5869,IF(H37&lt;=31884,H37,31884))</f>
        <v>5869</v>
      </c>
      <c r="K37" s="56">
        <f>IF(H37&lt;=5869,5869,IF(H37&lt;=31884,H37,31884))</f>
        <v>5869</v>
      </c>
      <c r="L37" s="58">
        <f>ROUND(I37*0.16,2)</f>
        <v>939.04</v>
      </c>
      <c r="M37" s="58">
        <f>ROUND(I37*0.005,2)</f>
        <v>29.35</v>
      </c>
      <c r="N37" s="58">
        <f>ROUND(J37*0.009,2)</f>
        <v>52.82</v>
      </c>
      <c r="O37" s="58">
        <f>ROUND(K37*0.098,2)</f>
        <v>575.16</v>
      </c>
      <c r="P37" s="58">
        <f>SUM(L37:O37)</f>
        <v>1596.37</v>
      </c>
      <c r="Q37" s="58">
        <f>ROUND(I37*0.08,2)</f>
        <v>469.52</v>
      </c>
      <c r="R37" s="58">
        <f>ROUND(K37*0.02+3,2)</f>
        <v>120.38</v>
      </c>
      <c r="S37" s="58">
        <f>I37*0.005</f>
        <v>29.345</v>
      </c>
      <c r="T37" s="58">
        <f>SUM(Q37:S37)</f>
        <v>619.245</v>
      </c>
      <c r="U37" s="58">
        <f>T37+P37</f>
        <v>2215.615</v>
      </c>
      <c r="V37" s="61">
        <v>44866</v>
      </c>
      <c r="W37" s="55"/>
      <c r="X37" s="55" t="s">
        <v>44</v>
      </c>
    </row>
    <row r="40" customFormat="1" ht="14.25"/>
    <row r="41" customFormat="1" ht="14.25"/>
  </sheetData>
  <autoFilter ref="A1:X36">
    <extLst/>
  </autoFilter>
  <pageMargins left="0.75" right="0.75" top="1" bottom="1" header="0.5" footer="0.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Y21"/>
  <sheetViews>
    <sheetView zoomScale="115" zoomScaleNormal="115" workbookViewId="0">
      <pane xSplit="3" ySplit="1" topLeftCell="D2" activePane="bottomRight" state="frozen"/>
      <selection/>
      <selection pane="topRight"/>
      <selection pane="bottomLeft"/>
      <selection pane="bottomRight" activeCell="O34" sqref="O34"/>
    </sheetView>
  </sheetViews>
  <sheetFormatPr defaultColWidth="8.66666666666667" defaultRowHeight="12"/>
  <cols>
    <col min="1" max="1" width="3.125" style="15" customWidth="1"/>
    <col min="2" max="2" width="7.875" style="15" customWidth="1"/>
    <col min="3" max="3" width="6.25" style="15" customWidth="1"/>
    <col min="4" max="4" width="7.875" style="15" customWidth="1"/>
    <col min="5" max="5" width="9.5" style="15" customWidth="1"/>
    <col min="6" max="6" width="17.875" style="15" customWidth="1"/>
    <col min="7" max="7" width="15" style="15" customWidth="1"/>
    <col min="8" max="10" width="4.875" style="15" customWidth="1"/>
    <col min="11" max="11" width="6.25" style="15" customWidth="1"/>
    <col min="12" max="12" width="7.5" style="15" customWidth="1"/>
    <col min="13" max="14" width="6.625" style="15" customWidth="1"/>
    <col min="15" max="15" width="7.5" style="15" customWidth="1"/>
    <col min="16" max="16" width="8.375" style="15" customWidth="1"/>
    <col min="17" max="18" width="7.5" style="15" customWidth="1"/>
    <col min="19" max="19" width="7.25" style="15" customWidth="1"/>
    <col min="20" max="20" width="7.5" style="15" customWidth="1"/>
    <col min="21" max="21" width="8.375" style="15" customWidth="1"/>
    <col min="22" max="22" width="9.875" style="15" customWidth="1"/>
    <col min="23" max="23" width="9" style="15" customWidth="1"/>
    <col min="24" max="25" width="7.25" style="15" customWidth="1"/>
    <col min="26" max="16384" width="8.66666666666667" style="15"/>
  </cols>
  <sheetData>
    <row r="1" s="14" customFormat="1" ht="48" spans="1:25">
      <c r="A1" s="19" t="s">
        <v>18</v>
      </c>
      <c r="B1" s="20" t="s">
        <v>2</v>
      </c>
      <c r="C1" s="20" t="s">
        <v>19</v>
      </c>
      <c r="D1" s="20" t="s">
        <v>0</v>
      </c>
      <c r="E1" s="20" t="s">
        <v>134</v>
      </c>
      <c r="F1" s="20" t="s">
        <v>21</v>
      </c>
      <c r="G1" s="20" t="s">
        <v>22</v>
      </c>
      <c r="H1" s="20" t="s">
        <v>23</v>
      </c>
      <c r="I1" s="20" t="s">
        <v>24</v>
      </c>
      <c r="J1" s="20" t="s">
        <v>25</v>
      </c>
      <c r="K1" s="20" t="s">
        <v>26</v>
      </c>
      <c r="L1" s="20" t="s">
        <v>27</v>
      </c>
      <c r="M1" s="20" t="s">
        <v>28</v>
      </c>
      <c r="N1" s="20" t="s">
        <v>29</v>
      </c>
      <c r="O1" s="34" t="s">
        <v>30</v>
      </c>
      <c r="P1" s="34" t="s">
        <v>31</v>
      </c>
      <c r="Q1" s="34" t="s">
        <v>32</v>
      </c>
      <c r="R1" s="34" t="s">
        <v>33</v>
      </c>
      <c r="S1" s="34" t="s">
        <v>34</v>
      </c>
      <c r="T1" s="34" t="s">
        <v>35</v>
      </c>
      <c r="U1" s="34" t="s">
        <v>36</v>
      </c>
      <c r="V1" s="34" t="s">
        <v>37</v>
      </c>
      <c r="W1" s="34" t="s">
        <v>38</v>
      </c>
      <c r="X1" s="34" t="s">
        <v>39</v>
      </c>
      <c r="Y1" s="34" t="s">
        <v>135</v>
      </c>
    </row>
    <row r="2" s="15" customFormat="1" spans="1:25">
      <c r="A2" s="21">
        <v>6</v>
      </c>
      <c r="B2" s="21" t="s">
        <v>9</v>
      </c>
      <c r="C2" s="21" t="s">
        <v>136</v>
      </c>
      <c r="D2" s="21" t="s">
        <v>8</v>
      </c>
      <c r="E2" s="21"/>
      <c r="F2" s="68" t="s">
        <v>137</v>
      </c>
      <c r="G2" s="23" t="s">
        <v>51</v>
      </c>
      <c r="H2" s="23">
        <v>4500</v>
      </c>
      <c r="I2" s="23">
        <f t="shared" ref="I2:I14" si="0">IF(H2&lt;=5360,5360,IF(H2&lt;=28221,H2,28221))</f>
        <v>5360</v>
      </c>
      <c r="J2" s="23">
        <f t="shared" ref="J2:J14" si="1">IF(H2&lt;=5360,5360,IF(H2&lt;=28221,H2,28221))</f>
        <v>5360</v>
      </c>
      <c r="K2" s="23">
        <f t="shared" ref="K2:K14" si="2">IF(H2&lt;=5360,5360,IF(H2&lt;=28221,H2,28221))</f>
        <v>5360</v>
      </c>
      <c r="L2" s="35">
        <f t="shared" ref="L2:L21" si="3">ROUND(I2*0.16,2)</f>
        <v>857.6</v>
      </c>
      <c r="M2" s="35">
        <f t="shared" ref="M2:M21" si="4">ROUND(I2*0.005,2)</f>
        <v>26.8</v>
      </c>
      <c r="N2" s="35">
        <f t="shared" ref="N2:N10" si="5">ROUND(J2*0.004,2)</f>
        <v>21.44</v>
      </c>
      <c r="O2" s="35">
        <f t="shared" ref="O2:O21" si="6">ROUND(K2*0.098,2)</f>
        <v>525.28</v>
      </c>
      <c r="P2" s="35">
        <f t="shared" ref="P2:P21" si="7">SUM(L2:O2)</f>
        <v>1431.12</v>
      </c>
      <c r="Q2" s="35">
        <f t="shared" ref="Q2:Q21" si="8">ROUND(I2*0.08,2)</f>
        <v>428.8</v>
      </c>
      <c r="R2" s="35">
        <f t="shared" ref="R2:R21" si="9">ROUND(K2*0.02+3,2)</f>
        <v>110.2</v>
      </c>
      <c r="S2" s="35">
        <f t="shared" ref="S2:S21" si="10">I2*0.005</f>
        <v>26.8</v>
      </c>
      <c r="T2" s="35">
        <f t="shared" ref="T2:T21" si="11">SUM(Q2:S2)</f>
        <v>565.8</v>
      </c>
      <c r="U2" s="39">
        <f t="shared" ref="U2:U21" si="12">T2+P2</f>
        <v>1996.92</v>
      </c>
      <c r="V2" s="40">
        <v>44470</v>
      </c>
      <c r="W2" s="41">
        <v>44593</v>
      </c>
      <c r="X2" s="42" t="s">
        <v>44</v>
      </c>
      <c r="Y2" s="42" t="s">
        <v>44</v>
      </c>
    </row>
    <row r="3" s="15" customFormat="1" spans="1:25">
      <c r="A3" s="21">
        <v>38</v>
      </c>
      <c r="B3" s="21" t="s">
        <v>5</v>
      </c>
      <c r="C3" s="21" t="s">
        <v>138</v>
      </c>
      <c r="D3" s="21" t="s">
        <v>16</v>
      </c>
      <c r="E3" s="21" t="s">
        <v>139</v>
      </c>
      <c r="F3" s="67" t="s">
        <v>140</v>
      </c>
      <c r="G3" s="24" t="s">
        <v>141</v>
      </c>
      <c r="H3" s="23">
        <v>5000</v>
      </c>
      <c r="I3" s="23">
        <f t="shared" si="0"/>
        <v>5360</v>
      </c>
      <c r="J3" s="23">
        <f t="shared" si="1"/>
        <v>5360</v>
      </c>
      <c r="K3" s="23">
        <f t="shared" si="2"/>
        <v>5360</v>
      </c>
      <c r="L3" s="35">
        <f t="shared" si="3"/>
        <v>857.6</v>
      </c>
      <c r="M3" s="35">
        <f t="shared" si="4"/>
        <v>26.8</v>
      </c>
      <c r="N3" s="35">
        <f>ROUND(J3*0.011,2)</f>
        <v>58.96</v>
      </c>
      <c r="O3" s="35">
        <f t="shared" si="6"/>
        <v>525.28</v>
      </c>
      <c r="P3" s="35">
        <f t="shared" si="7"/>
        <v>1468.64</v>
      </c>
      <c r="Q3" s="35">
        <f t="shared" si="8"/>
        <v>428.8</v>
      </c>
      <c r="R3" s="35">
        <f t="shared" si="9"/>
        <v>110.2</v>
      </c>
      <c r="S3" s="35">
        <f t="shared" si="10"/>
        <v>26.8</v>
      </c>
      <c r="T3" s="35">
        <f t="shared" si="11"/>
        <v>565.8</v>
      </c>
      <c r="U3" s="35">
        <f t="shared" si="12"/>
        <v>2034.44</v>
      </c>
      <c r="V3" s="43">
        <v>44502</v>
      </c>
      <c r="W3" s="41">
        <v>44593</v>
      </c>
      <c r="X3" s="42" t="s">
        <v>44</v>
      </c>
      <c r="Y3" s="42" t="s">
        <v>44</v>
      </c>
    </row>
    <row r="4" s="15" customFormat="1" spans="1:25">
      <c r="A4" s="21">
        <v>2</v>
      </c>
      <c r="B4" s="21" t="s">
        <v>9</v>
      </c>
      <c r="C4" s="21" t="s">
        <v>142</v>
      </c>
      <c r="D4" s="25" t="s">
        <v>14</v>
      </c>
      <c r="E4" s="25"/>
      <c r="F4" s="68" t="s">
        <v>143</v>
      </c>
      <c r="G4" s="23" t="s">
        <v>144</v>
      </c>
      <c r="H4" s="23">
        <v>3600</v>
      </c>
      <c r="I4" s="23">
        <f t="shared" si="0"/>
        <v>5360</v>
      </c>
      <c r="J4" s="23">
        <f t="shared" si="1"/>
        <v>5360</v>
      </c>
      <c r="K4" s="23">
        <f t="shared" si="2"/>
        <v>5360</v>
      </c>
      <c r="L4" s="35">
        <f t="shared" si="3"/>
        <v>857.6</v>
      </c>
      <c r="M4" s="35">
        <f t="shared" si="4"/>
        <v>26.8</v>
      </c>
      <c r="N4" s="35">
        <f t="shared" si="5"/>
        <v>21.44</v>
      </c>
      <c r="O4" s="35">
        <f t="shared" si="6"/>
        <v>525.28</v>
      </c>
      <c r="P4" s="35">
        <f t="shared" si="7"/>
        <v>1431.12</v>
      </c>
      <c r="Q4" s="35">
        <f t="shared" si="8"/>
        <v>428.8</v>
      </c>
      <c r="R4" s="35">
        <f t="shared" si="9"/>
        <v>110.2</v>
      </c>
      <c r="S4" s="35">
        <f t="shared" si="10"/>
        <v>26.8</v>
      </c>
      <c r="T4" s="35">
        <f t="shared" si="11"/>
        <v>565.8</v>
      </c>
      <c r="U4" s="39">
        <f t="shared" si="12"/>
        <v>1996.92</v>
      </c>
      <c r="V4" s="24"/>
      <c r="W4" s="41">
        <v>44621</v>
      </c>
      <c r="X4" s="42" t="s">
        <v>44</v>
      </c>
      <c r="Y4" s="42" t="s">
        <v>44</v>
      </c>
    </row>
    <row r="5" s="15" customFormat="1" spans="1:25">
      <c r="A5" s="21">
        <v>3</v>
      </c>
      <c r="B5" s="21" t="s">
        <v>9</v>
      </c>
      <c r="C5" s="21" t="s">
        <v>145</v>
      </c>
      <c r="D5" s="21" t="s">
        <v>14</v>
      </c>
      <c r="E5" s="21"/>
      <c r="F5" s="22" t="s">
        <v>146</v>
      </c>
      <c r="G5" s="23" t="s">
        <v>43</v>
      </c>
      <c r="H5" s="23">
        <v>3600</v>
      </c>
      <c r="I5" s="23">
        <f t="shared" si="0"/>
        <v>5360</v>
      </c>
      <c r="J5" s="23">
        <f t="shared" si="1"/>
        <v>5360</v>
      </c>
      <c r="K5" s="23">
        <f t="shared" si="2"/>
        <v>5360</v>
      </c>
      <c r="L5" s="35">
        <f t="shared" si="3"/>
        <v>857.6</v>
      </c>
      <c r="M5" s="35">
        <f t="shared" si="4"/>
        <v>26.8</v>
      </c>
      <c r="N5" s="35">
        <f t="shared" si="5"/>
        <v>21.44</v>
      </c>
      <c r="O5" s="35">
        <f t="shared" si="6"/>
        <v>525.28</v>
      </c>
      <c r="P5" s="35">
        <f t="shared" si="7"/>
        <v>1431.12</v>
      </c>
      <c r="Q5" s="35">
        <f t="shared" si="8"/>
        <v>428.8</v>
      </c>
      <c r="R5" s="35">
        <f t="shared" si="9"/>
        <v>110.2</v>
      </c>
      <c r="S5" s="35">
        <f t="shared" si="10"/>
        <v>26.8</v>
      </c>
      <c r="T5" s="35">
        <f t="shared" si="11"/>
        <v>565.8</v>
      </c>
      <c r="U5" s="39">
        <f t="shared" si="12"/>
        <v>1996.92</v>
      </c>
      <c r="V5" s="24"/>
      <c r="W5" s="41">
        <v>44621</v>
      </c>
      <c r="X5" s="42" t="s">
        <v>44</v>
      </c>
      <c r="Y5" s="42" t="s">
        <v>44</v>
      </c>
    </row>
    <row r="6" s="15" customFormat="1" spans="1:25">
      <c r="A6" s="21">
        <v>19</v>
      </c>
      <c r="B6" s="21" t="s">
        <v>9</v>
      </c>
      <c r="C6" s="21" t="s">
        <v>147</v>
      </c>
      <c r="D6" s="21" t="s">
        <v>16</v>
      </c>
      <c r="E6" s="21"/>
      <c r="F6" s="67" t="s">
        <v>148</v>
      </c>
      <c r="G6" s="24" t="s">
        <v>51</v>
      </c>
      <c r="H6" s="23">
        <f>VLOOKUP(C6,[1]城镇职工人员!$B$2:$C$26,2,0)</f>
        <v>3500</v>
      </c>
      <c r="I6" s="23">
        <f t="shared" si="0"/>
        <v>5360</v>
      </c>
      <c r="J6" s="23">
        <f t="shared" si="1"/>
        <v>5360</v>
      </c>
      <c r="K6" s="23">
        <f t="shared" si="2"/>
        <v>5360</v>
      </c>
      <c r="L6" s="35">
        <f t="shared" si="3"/>
        <v>857.6</v>
      </c>
      <c r="M6" s="35">
        <f t="shared" si="4"/>
        <v>26.8</v>
      </c>
      <c r="N6" s="35">
        <f t="shared" si="5"/>
        <v>21.44</v>
      </c>
      <c r="O6" s="35">
        <f t="shared" si="6"/>
        <v>525.28</v>
      </c>
      <c r="P6" s="35">
        <f t="shared" si="7"/>
        <v>1431.12</v>
      </c>
      <c r="Q6" s="35">
        <f t="shared" si="8"/>
        <v>428.8</v>
      </c>
      <c r="R6" s="35">
        <f t="shared" si="9"/>
        <v>110.2</v>
      </c>
      <c r="S6" s="35">
        <f t="shared" si="10"/>
        <v>26.8</v>
      </c>
      <c r="T6" s="35">
        <f t="shared" si="11"/>
        <v>565.8</v>
      </c>
      <c r="U6" s="39">
        <f t="shared" si="12"/>
        <v>1996.92</v>
      </c>
      <c r="V6" s="24"/>
      <c r="W6" s="41">
        <v>44621</v>
      </c>
      <c r="X6" s="42" t="s">
        <v>44</v>
      </c>
      <c r="Y6" s="42" t="s">
        <v>44</v>
      </c>
    </row>
    <row r="7" s="15" customFormat="1" spans="1:25">
      <c r="A7" s="21">
        <v>22</v>
      </c>
      <c r="B7" s="21" t="s">
        <v>9</v>
      </c>
      <c r="C7" s="21" t="s">
        <v>149</v>
      </c>
      <c r="D7" s="21" t="s">
        <v>16</v>
      </c>
      <c r="E7" s="21"/>
      <c r="F7" s="24" t="s">
        <v>150</v>
      </c>
      <c r="G7" s="24" t="s">
        <v>51</v>
      </c>
      <c r="H7" s="23">
        <f>VLOOKUP(C7,[1]城镇职工人员!$B$2:$C$26,2,0)</f>
        <v>3500</v>
      </c>
      <c r="I7" s="23">
        <f t="shared" si="0"/>
        <v>5360</v>
      </c>
      <c r="J7" s="23">
        <f t="shared" si="1"/>
        <v>5360</v>
      </c>
      <c r="K7" s="23">
        <f t="shared" si="2"/>
        <v>5360</v>
      </c>
      <c r="L7" s="35">
        <f t="shared" si="3"/>
        <v>857.6</v>
      </c>
      <c r="M7" s="35">
        <f t="shared" si="4"/>
        <v>26.8</v>
      </c>
      <c r="N7" s="35">
        <f t="shared" si="5"/>
        <v>21.44</v>
      </c>
      <c r="O7" s="35">
        <f t="shared" si="6"/>
        <v>525.28</v>
      </c>
      <c r="P7" s="35">
        <f t="shared" si="7"/>
        <v>1431.12</v>
      </c>
      <c r="Q7" s="35">
        <f t="shared" si="8"/>
        <v>428.8</v>
      </c>
      <c r="R7" s="35">
        <f t="shared" si="9"/>
        <v>110.2</v>
      </c>
      <c r="S7" s="35">
        <f t="shared" si="10"/>
        <v>26.8</v>
      </c>
      <c r="T7" s="35">
        <f t="shared" si="11"/>
        <v>565.8</v>
      </c>
      <c r="U7" s="39">
        <f t="shared" si="12"/>
        <v>1996.92</v>
      </c>
      <c r="V7" s="24"/>
      <c r="W7" s="41">
        <v>44621</v>
      </c>
      <c r="X7" s="42" t="s">
        <v>44</v>
      </c>
      <c r="Y7" s="42" t="s">
        <v>44</v>
      </c>
    </row>
    <row r="8" s="15" customFormat="1" spans="1:25">
      <c r="A8" s="21">
        <v>17</v>
      </c>
      <c r="B8" s="21" t="s">
        <v>9</v>
      </c>
      <c r="C8" s="21" t="s">
        <v>151</v>
      </c>
      <c r="D8" s="21" t="s">
        <v>10</v>
      </c>
      <c r="E8" s="21"/>
      <c r="F8" s="24" t="s">
        <v>152</v>
      </c>
      <c r="G8" s="23" t="s">
        <v>51</v>
      </c>
      <c r="H8" s="23">
        <v>3500</v>
      </c>
      <c r="I8" s="23">
        <f t="shared" si="0"/>
        <v>5360</v>
      </c>
      <c r="J8" s="23">
        <f t="shared" si="1"/>
        <v>5360</v>
      </c>
      <c r="K8" s="23">
        <f t="shared" si="2"/>
        <v>5360</v>
      </c>
      <c r="L8" s="35">
        <f t="shared" si="3"/>
        <v>857.6</v>
      </c>
      <c r="M8" s="35">
        <f t="shared" si="4"/>
        <v>26.8</v>
      </c>
      <c r="N8" s="35">
        <f t="shared" si="5"/>
        <v>21.44</v>
      </c>
      <c r="O8" s="35">
        <f t="shared" si="6"/>
        <v>525.28</v>
      </c>
      <c r="P8" s="35">
        <f t="shared" si="7"/>
        <v>1431.12</v>
      </c>
      <c r="Q8" s="35">
        <f t="shared" si="8"/>
        <v>428.8</v>
      </c>
      <c r="R8" s="35">
        <f t="shared" si="9"/>
        <v>110.2</v>
      </c>
      <c r="S8" s="35">
        <f t="shared" si="10"/>
        <v>26.8</v>
      </c>
      <c r="T8" s="35">
        <f t="shared" si="11"/>
        <v>565.8</v>
      </c>
      <c r="U8" s="39">
        <f t="shared" si="12"/>
        <v>1996.92</v>
      </c>
      <c r="V8" s="24"/>
      <c r="W8" s="41">
        <v>44621</v>
      </c>
      <c r="X8" s="42" t="s">
        <v>44</v>
      </c>
      <c r="Y8" s="42" t="s">
        <v>44</v>
      </c>
    </row>
    <row r="9" s="15" customFormat="1" spans="1:25">
      <c r="A9" s="21">
        <v>12</v>
      </c>
      <c r="B9" s="21" t="s">
        <v>9</v>
      </c>
      <c r="C9" s="21" t="s">
        <v>153</v>
      </c>
      <c r="D9" s="21" t="s">
        <v>6</v>
      </c>
      <c r="E9" s="21"/>
      <c r="F9" s="22" t="s">
        <v>154</v>
      </c>
      <c r="G9" s="23" t="s">
        <v>51</v>
      </c>
      <c r="H9" s="23">
        <v>4000</v>
      </c>
      <c r="I9" s="23">
        <f t="shared" si="0"/>
        <v>5360</v>
      </c>
      <c r="J9" s="23">
        <f t="shared" si="1"/>
        <v>5360</v>
      </c>
      <c r="K9" s="23">
        <f t="shared" si="2"/>
        <v>5360</v>
      </c>
      <c r="L9" s="35">
        <f t="shared" si="3"/>
        <v>857.6</v>
      </c>
      <c r="M9" s="35">
        <f t="shared" si="4"/>
        <v>26.8</v>
      </c>
      <c r="N9" s="35">
        <f t="shared" si="5"/>
        <v>21.44</v>
      </c>
      <c r="O9" s="35">
        <f t="shared" si="6"/>
        <v>525.28</v>
      </c>
      <c r="P9" s="35">
        <f t="shared" si="7"/>
        <v>1431.12</v>
      </c>
      <c r="Q9" s="35">
        <f t="shared" si="8"/>
        <v>428.8</v>
      </c>
      <c r="R9" s="35">
        <f t="shared" si="9"/>
        <v>110.2</v>
      </c>
      <c r="S9" s="35">
        <f t="shared" si="10"/>
        <v>26.8</v>
      </c>
      <c r="T9" s="35">
        <f t="shared" si="11"/>
        <v>565.8</v>
      </c>
      <c r="U9" s="39">
        <f t="shared" si="12"/>
        <v>1996.92</v>
      </c>
      <c r="V9" s="43">
        <v>44440</v>
      </c>
      <c r="W9" s="41">
        <v>44653</v>
      </c>
      <c r="X9" s="42" t="s">
        <v>44</v>
      </c>
      <c r="Y9" s="42" t="s">
        <v>44</v>
      </c>
    </row>
    <row r="10" s="15" customFormat="1" spans="1:25">
      <c r="A10" s="21">
        <v>19</v>
      </c>
      <c r="B10" s="21" t="s">
        <v>9</v>
      </c>
      <c r="C10" s="21" t="s">
        <v>155</v>
      </c>
      <c r="D10" s="21" t="s">
        <v>16</v>
      </c>
      <c r="E10" s="21" t="s">
        <v>94</v>
      </c>
      <c r="F10" s="24" t="s">
        <v>156</v>
      </c>
      <c r="G10" s="23" t="s">
        <v>51</v>
      </c>
      <c r="H10" s="23">
        <f>VLOOKUP(C10,[1]城镇职工人员!$B$2:$C$26,2,0)</f>
        <v>3500</v>
      </c>
      <c r="I10" s="23">
        <f t="shared" si="0"/>
        <v>5360</v>
      </c>
      <c r="J10" s="23">
        <f t="shared" si="1"/>
        <v>5360</v>
      </c>
      <c r="K10" s="23">
        <f t="shared" si="2"/>
        <v>5360</v>
      </c>
      <c r="L10" s="35">
        <f t="shared" si="3"/>
        <v>857.6</v>
      </c>
      <c r="M10" s="35">
        <f t="shared" si="4"/>
        <v>26.8</v>
      </c>
      <c r="N10" s="35">
        <f t="shared" si="5"/>
        <v>21.44</v>
      </c>
      <c r="O10" s="35">
        <f t="shared" si="6"/>
        <v>525.28</v>
      </c>
      <c r="P10" s="35">
        <f t="shared" si="7"/>
        <v>1431.12</v>
      </c>
      <c r="Q10" s="35">
        <f t="shared" si="8"/>
        <v>428.8</v>
      </c>
      <c r="R10" s="35">
        <f t="shared" si="9"/>
        <v>110.2</v>
      </c>
      <c r="S10" s="35">
        <f t="shared" si="10"/>
        <v>26.8</v>
      </c>
      <c r="T10" s="35">
        <f t="shared" si="11"/>
        <v>565.8</v>
      </c>
      <c r="U10" s="39">
        <f t="shared" si="12"/>
        <v>1996.92</v>
      </c>
      <c r="V10" s="24"/>
      <c r="W10" s="41">
        <v>44715</v>
      </c>
      <c r="X10" s="42" t="s">
        <v>44</v>
      </c>
      <c r="Y10" s="42" t="s">
        <v>44</v>
      </c>
    </row>
    <row r="11" s="15" customFormat="1" spans="1:25">
      <c r="A11" s="21">
        <v>22</v>
      </c>
      <c r="B11" s="21" t="s">
        <v>5</v>
      </c>
      <c r="C11" s="21" t="s">
        <v>157</v>
      </c>
      <c r="D11" s="21" t="s">
        <v>16</v>
      </c>
      <c r="E11" s="21" t="s">
        <v>86</v>
      </c>
      <c r="F11" s="67" t="s">
        <v>158</v>
      </c>
      <c r="G11" s="24" t="s">
        <v>141</v>
      </c>
      <c r="H11" s="23">
        <v>5000</v>
      </c>
      <c r="I11" s="23">
        <f t="shared" si="0"/>
        <v>5360</v>
      </c>
      <c r="J11" s="23">
        <f t="shared" si="1"/>
        <v>5360</v>
      </c>
      <c r="K11" s="23">
        <f t="shared" si="2"/>
        <v>5360</v>
      </c>
      <c r="L11" s="35">
        <f t="shared" si="3"/>
        <v>857.6</v>
      </c>
      <c r="M11" s="35">
        <f t="shared" si="4"/>
        <v>26.8</v>
      </c>
      <c r="N11" s="35">
        <f t="shared" ref="N11:N15" si="13">ROUND(J11*0.011,2)</f>
        <v>58.96</v>
      </c>
      <c r="O11" s="35">
        <f t="shared" si="6"/>
        <v>525.28</v>
      </c>
      <c r="P11" s="35">
        <f t="shared" si="7"/>
        <v>1468.64</v>
      </c>
      <c r="Q11" s="35">
        <f t="shared" si="8"/>
        <v>428.8</v>
      </c>
      <c r="R11" s="35">
        <f t="shared" si="9"/>
        <v>110.2</v>
      </c>
      <c r="S11" s="35">
        <f t="shared" si="10"/>
        <v>26.8</v>
      </c>
      <c r="T11" s="35">
        <f t="shared" si="11"/>
        <v>565.8</v>
      </c>
      <c r="U11" s="35">
        <f t="shared" si="12"/>
        <v>2034.44</v>
      </c>
      <c r="V11" s="43">
        <v>44502</v>
      </c>
      <c r="W11" s="41">
        <v>44716</v>
      </c>
      <c r="X11" s="42" t="s">
        <v>44</v>
      </c>
      <c r="Y11" s="42" t="s">
        <v>44</v>
      </c>
    </row>
    <row r="12" s="15" customFormat="1" spans="1:25">
      <c r="A12" s="21">
        <v>23</v>
      </c>
      <c r="B12" s="21" t="s">
        <v>5</v>
      </c>
      <c r="C12" s="21" t="s">
        <v>159</v>
      </c>
      <c r="D12" s="21" t="s">
        <v>16</v>
      </c>
      <c r="E12" s="21" t="s">
        <v>86</v>
      </c>
      <c r="F12" s="67" t="s">
        <v>160</v>
      </c>
      <c r="G12" s="24" t="s">
        <v>51</v>
      </c>
      <c r="H12" s="23">
        <v>4500</v>
      </c>
      <c r="I12" s="23">
        <f t="shared" si="0"/>
        <v>5360</v>
      </c>
      <c r="J12" s="23">
        <f t="shared" si="1"/>
        <v>5360</v>
      </c>
      <c r="K12" s="23">
        <f t="shared" si="2"/>
        <v>5360</v>
      </c>
      <c r="L12" s="35">
        <f t="shared" si="3"/>
        <v>857.6</v>
      </c>
      <c r="M12" s="35">
        <f t="shared" si="4"/>
        <v>26.8</v>
      </c>
      <c r="N12" s="35">
        <f t="shared" si="13"/>
        <v>58.96</v>
      </c>
      <c r="O12" s="35">
        <f t="shared" si="6"/>
        <v>525.28</v>
      </c>
      <c r="P12" s="35">
        <f t="shared" si="7"/>
        <v>1468.64</v>
      </c>
      <c r="Q12" s="35">
        <f t="shared" si="8"/>
        <v>428.8</v>
      </c>
      <c r="R12" s="35">
        <f t="shared" si="9"/>
        <v>110.2</v>
      </c>
      <c r="S12" s="35">
        <f t="shared" si="10"/>
        <v>26.8</v>
      </c>
      <c r="T12" s="35">
        <f t="shared" si="11"/>
        <v>565.8</v>
      </c>
      <c r="U12" s="35">
        <f t="shared" si="12"/>
        <v>2034.44</v>
      </c>
      <c r="V12" s="43">
        <v>44471</v>
      </c>
      <c r="W12" s="41">
        <v>44717</v>
      </c>
      <c r="X12" s="42" t="s">
        <v>44</v>
      </c>
      <c r="Y12" s="42" t="s">
        <v>44</v>
      </c>
    </row>
    <row r="13" s="15" customFormat="1" spans="1:25">
      <c r="A13" s="21">
        <v>26</v>
      </c>
      <c r="B13" s="21" t="s">
        <v>5</v>
      </c>
      <c r="C13" s="21" t="s">
        <v>161</v>
      </c>
      <c r="D13" s="21" t="s">
        <v>16</v>
      </c>
      <c r="E13" s="21" t="s">
        <v>86</v>
      </c>
      <c r="F13" s="67" t="s">
        <v>162</v>
      </c>
      <c r="G13" s="24" t="s">
        <v>51</v>
      </c>
      <c r="H13" s="23">
        <v>4500</v>
      </c>
      <c r="I13" s="23">
        <f t="shared" si="0"/>
        <v>5360</v>
      </c>
      <c r="J13" s="23">
        <f t="shared" si="1"/>
        <v>5360</v>
      </c>
      <c r="K13" s="23">
        <f t="shared" si="2"/>
        <v>5360</v>
      </c>
      <c r="L13" s="35">
        <f t="shared" si="3"/>
        <v>857.6</v>
      </c>
      <c r="M13" s="35">
        <f t="shared" si="4"/>
        <v>26.8</v>
      </c>
      <c r="N13" s="35">
        <f t="shared" si="13"/>
        <v>58.96</v>
      </c>
      <c r="O13" s="35">
        <f t="shared" si="6"/>
        <v>525.28</v>
      </c>
      <c r="P13" s="35">
        <f t="shared" si="7"/>
        <v>1468.64</v>
      </c>
      <c r="Q13" s="35">
        <f t="shared" si="8"/>
        <v>428.8</v>
      </c>
      <c r="R13" s="35">
        <f t="shared" si="9"/>
        <v>110.2</v>
      </c>
      <c r="S13" s="35">
        <f t="shared" si="10"/>
        <v>26.8</v>
      </c>
      <c r="T13" s="35">
        <f t="shared" si="11"/>
        <v>565.8</v>
      </c>
      <c r="U13" s="35">
        <f t="shared" si="12"/>
        <v>2034.44</v>
      </c>
      <c r="V13" s="43">
        <v>44471</v>
      </c>
      <c r="W13" s="41">
        <v>44718</v>
      </c>
      <c r="X13" s="42" t="s">
        <v>44</v>
      </c>
      <c r="Y13" s="42" t="s">
        <v>44</v>
      </c>
    </row>
    <row r="14" s="15" customFormat="1" spans="1:25">
      <c r="A14" s="21">
        <v>35</v>
      </c>
      <c r="B14" s="21" t="s">
        <v>5</v>
      </c>
      <c r="C14" s="21" t="s">
        <v>163</v>
      </c>
      <c r="D14" s="21" t="s">
        <v>122</v>
      </c>
      <c r="E14" s="26"/>
      <c r="F14" s="26" t="s">
        <v>164</v>
      </c>
      <c r="G14" s="23" t="s">
        <v>43</v>
      </c>
      <c r="H14" s="23">
        <v>5000</v>
      </c>
      <c r="I14" s="23">
        <f t="shared" si="0"/>
        <v>5360</v>
      </c>
      <c r="J14" s="23">
        <f t="shared" si="1"/>
        <v>5360</v>
      </c>
      <c r="K14" s="23">
        <f t="shared" si="2"/>
        <v>5360</v>
      </c>
      <c r="L14" s="35">
        <f t="shared" si="3"/>
        <v>857.6</v>
      </c>
      <c r="M14" s="35">
        <f t="shared" si="4"/>
        <v>26.8</v>
      </c>
      <c r="N14" s="35">
        <f t="shared" si="13"/>
        <v>58.96</v>
      </c>
      <c r="O14" s="35">
        <f t="shared" si="6"/>
        <v>525.28</v>
      </c>
      <c r="P14" s="35">
        <f t="shared" si="7"/>
        <v>1468.64</v>
      </c>
      <c r="Q14" s="35">
        <f t="shared" si="8"/>
        <v>428.8</v>
      </c>
      <c r="R14" s="35">
        <f t="shared" si="9"/>
        <v>110.2</v>
      </c>
      <c r="S14" s="35">
        <f t="shared" si="10"/>
        <v>26.8</v>
      </c>
      <c r="T14" s="35">
        <f t="shared" si="11"/>
        <v>565.8</v>
      </c>
      <c r="U14" s="35">
        <f t="shared" si="12"/>
        <v>2034.44</v>
      </c>
      <c r="V14" s="40">
        <v>44682</v>
      </c>
      <c r="W14" s="41">
        <v>44719</v>
      </c>
      <c r="X14" s="42" t="s">
        <v>44</v>
      </c>
      <c r="Y14" s="42" t="s">
        <v>44</v>
      </c>
    </row>
    <row r="15" s="16" customFormat="1" spans="1:25">
      <c r="A15" s="21">
        <v>16</v>
      </c>
      <c r="B15" s="21" t="s">
        <v>5</v>
      </c>
      <c r="C15" s="21" t="s">
        <v>165</v>
      </c>
      <c r="D15" s="21" t="s">
        <v>16</v>
      </c>
      <c r="E15" s="21"/>
      <c r="F15" s="69" t="s">
        <v>166</v>
      </c>
      <c r="G15" s="24" t="s">
        <v>51</v>
      </c>
      <c r="H15" s="23">
        <v>6000</v>
      </c>
      <c r="I15" s="23">
        <f t="shared" ref="I15:I21" si="14">IF(H15&lt;=5869,5869,IF(H15&lt;=31884,H15,31884))</f>
        <v>6000</v>
      </c>
      <c r="J15" s="23">
        <f t="shared" ref="J15:J21" si="15">IF(H15&lt;=5869,5869,IF(H15&lt;=31884,H15,31884))</f>
        <v>6000</v>
      </c>
      <c r="K15" s="23">
        <f t="shared" ref="K15:K21" si="16">IF(H15&lt;=5869,5869,IF(H15&lt;=31884,H15,31884))</f>
        <v>6000</v>
      </c>
      <c r="L15" s="35">
        <f t="shared" si="3"/>
        <v>960</v>
      </c>
      <c r="M15" s="35">
        <f t="shared" si="4"/>
        <v>30</v>
      </c>
      <c r="N15" s="35">
        <f t="shared" si="13"/>
        <v>66</v>
      </c>
      <c r="O15" s="35">
        <f t="shared" si="6"/>
        <v>588</v>
      </c>
      <c r="P15" s="35">
        <f t="shared" si="7"/>
        <v>1644</v>
      </c>
      <c r="Q15" s="35">
        <f t="shared" si="8"/>
        <v>480</v>
      </c>
      <c r="R15" s="35">
        <f t="shared" si="9"/>
        <v>123</v>
      </c>
      <c r="S15" s="35">
        <f t="shared" si="10"/>
        <v>30</v>
      </c>
      <c r="T15" s="35">
        <f t="shared" si="11"/>
        <v>633</v>
      </c>
      <c r="U15" s="35">
        <f t="shared" si="12"/>
        <v>2277</v>
      </c>
      <c r="V15" s="44">
        <v>44743</v>
      </c>
      <c r="W15" s="40">
        <v>44774</v>
      </c>
      <c r="X15" s="45" t="s">
        <v>44</v>
      </c>
      <c r="Y15" s="24" t="s">
        <v>44</v>
      </c>
    </row>
    <row r="16" s="16" customFormat="1" spans="1:25">
      <c r="A16" s="21">
        <v>34</v>
      </c>
      <c r="B16" s="21" t="s">
        <v>7</v>
      </c>
      <c r="C16" s="21" t="s">
        <v>167</v>
      </c>
      <c r="D16" s="21" t="s">
        <v>16</v>
      </c>
      <c r="E16" s="21"/>
      <c r="F16" s="69" t="s">
        <v>168</v>
      </c>
      <c r="G16" s="23" t="s">
        <v>51</v>
      </c>
      <c r="H16" s="23">
        <v>4500</v>
      </c>
      <c r="I16" s="23">
        <f t="shared" si="14"/>
        <v>5869</v>
      </c>
      <c r="J16" s="23">
        <f t="shared" si="15"/>
        <v>5869</v>
      </c>
      <c r="K16" s="23">
        <f t="shared" si="16"/>
        <v>5869</v>
      </c>
      <c r="L16" s="35">
        <f t="shared" si="3"/>
        <v>939.04</v>
      </c>
      <c r="M16" s="35">
        <f t="shared" si="4"/>
        <v>29.35</v>
      </c>
      <c r="N16" s="35">
        <f t="shared" ref="N16:N18" si="17">ROUND(J16*0.009,2)</f>
        <v>52.82</v>
      </c>
      <c r="O16" s="35">
        <f t="shared" si="6"/>
        <v>575.16</v>
      </c>
      <c r="P16" s="35">
        <f t="shared" si="7"/>
        <v>1596.37</v>
      </c>
      <c r="Q16" s="35">
        <f t="shared" si="8"/>
        <v>469.52</v>
      </c>
      <c r="R16" s="35">
        <f t="shared" si="9"/>
        <v>120.38</v>
      </c>
      <c r="S16" s="35">
        <f t="shared" si="10"/>
        <v>29.345</v>
      </c>
      <c r="T16" s="35">
        <f t="shared" si="11"/>
        <v>619.245</v>
      </c>
      <c r="U16" s="35">
        <f t="shared" si="12"/>
        <v>2215.615</v>
      </c>
      <c r="V16" s="40">
        <v>44743</v>
      </c>
      <c r="W16" s="40">
        <v>44774</v>
      </c>
      <c r="X16" s="24" t="s">
        <v>44</v>
      </c>
      <c r="Y16" s="24" t="s">
        <v>44</v>
      </c>
    </row>
    <row r="17" s="16" customFormat="1" spans="1:25">
      <c r="A17" s="21">
        <v>33</v>
      </c>
      <c r="B17" s="21" t="s">
        <v>7</v>
      </c>
      <c r="C17" s="21" t="s">
        <v>169</v>
      </c>
      <c r="D17" s="21" t="s">
        <v>16</v>
      </c>
      <c r="E17" s="21"/>
      <c r="F17" s="69" t="s">
        <v>170</v>
      </c>
      <c r="G17" s="23" t="s">
        <v>51</v>
      </c>
      <c r="H17" s="23">
        <v>4900</v>
      </c>
      <c r="I17" s="23">
        <f t="shared" si="14"/>
        <v>5869</v>
      </c>
      <c r="J17" s="23">
        <f t="shared" si="15"/>
        <v>5869</v>
      </c>
      <c r="K17" s="23">
        <f t="shared" si="16"/>
        <v>5869</v>
      </c>
      <c r="L17" s="35">
        <f t="shared" si="3"/>
        <v>939.04</v>
      </c>
      <c r="M17" s="35">
        <f t="shared" si="4"/>
        <v>29.35</v>
      </c>
      <c r="N17" s="35">
        <f t="shared" si="17"/>
        <v>52.82</v>
      </c>
      <c r="O17" s="35">
        <f t="shared" si="6"/>
        <v>575.16</v>
      </c>
      <c r="P17" s="35">
        <f t="shared" si="7"/>
        <v>1596.37</v>
      </c>
      <c r="Q17" s="35">
        <f t="shared" si="8"/>
        <v>469.52</v>
      </c>
      <c r="R17" s="35">
        <f t="shared" si="9"/>
        <v>120.38</v>
      </c>
      <c r="S17" s="35">
        <f t="shared" si="10"/>
        <v>29.345</v>
      </c>
      <c r="T17" s="35">
        <f t="shared" si="11"/>
        <v>619.245</v>
      </c>
      <c r="U17" s="35">
        <f t="shared" si="12"/>
        <v>2215.615</v>
      </c>
      <c r="V17" s="40">
        <v>44743</v>
      </c>
      <c r="W17" s="40">
        <v>44774</v>
      </c>
      <c r="X17" s="24" t="s">
        <v>44</v>
      </c>
      <c r="Y17" s="24" t="s">
        <v>44</v>
      </c>
    </row>
    <row r="18" s="16" customFormat="1" spans="1:25">
      <c r="A18" s="21">
        <v>32</v>
      </c>
      <c r="B18" s="21" t="s">
        <v>7</v>
      </c>
      <c r="C18" s="21" t="s">
        <v>171</v>
      </c>
      <c r="D18" s="21" t="s">
        <v>46</v>
      </c>
      <c r="E18" s="21"/>
      <c r="F18" s="67" t="s">
        <v>172</v>
      </c>
      <c r="G18" s="24" t="s">
        <v>48</v>
      </c>
      <c r="H18" s="23">
        <v>5200</v>
      </c>
      <c r="I18" s="23">
        <f t="shared" si="14"/>
        <v>5869</v>
      </c>
      <c r="J18" s="23">
        <f t="shared" si="15"/>
        <v>5869</v>
      </c>
      <c r="K18" s="23">
        <f t="shared" si="16"/>
        <v>5869</v>
      </c>
      <c r="L18" s="35">
        <f t="shared" si="3"/>
        <v>939.04</v>
      </c>
      <c r="M18" s="35">
        <f t="shared" si="4"/>
        <v>29.35</v>
      </c>
      <c r="N18" s="35">
        <f t="shared" si="17"/>
        <v>52.82</v>
      </c>
      <c r="O18" s="35">
        <f t="shared" si="6"/>
        <v>575.16</v>
      </c>
      <c r="P18" s="35">
        <f t="shared" si="7"/>
        <v>1596.37</v>
      </c>
      <c r="Q18" s="35">
        <f t="shared" si="8"/>
        <v>469.52</v>
      </c>
      <c r="R18" s="35">
        <f t="shared" si="9"/>
        <v>120.38</v>
      </c>
      <c r="S18" s="35">
        <f t="shared" si="10"/>
        <v>29.345</v>
      </c>
      <c r="T18" s="35">
        <f t="shared" si="11"/>
        <v>619.245</v>
      </c>
      <c r="U18" s="35">
        <f t="shared" si="12"/>
        <v>2215.615</v>
      </c>
      <c r="V18" s="40">
        <v>44774</v>
      </c>
      <c r="W18" s="40">
        <v>44805</v>
      </c>
      <c r="X18" s="24" t="s">
        <v>44</v>
      </c>
      <c r="Y18" s="24" t="s">
        <v>44</v>
      </c>
    </row>
    <row r="19" s="17" customFormat="1" spans="1:25">
      <c r="A19" s="28">
        <v>17</v>
      </c>
      <c r="B19" s="28" t="s">
        <v>5</v>
      </c>
      <c r="C19" s="28" t="s">
        <v>173</v>
      </c>
      <c r="D19" s="28" t="s">
        <v>122</v>
      </c>
      <c r="E19" s="28" t="s">
        <v>86</v>
      </c>
      <c r="F19" s="72" t="s">
        <v>174</v>
      </c>
      <c r="G19" s="29" t="s">
        <v>51</v>
      </c>
      <c r="H19" s="30">
        <v>5000</v>
      </c>
      <c r="I19" s="30">
        <f t="shared" si="14"/>
        <v>5869</v>
      </c>
      <c r="J19" s="30">
        <f t="shared" si="15"/>
        <v>5869</v>
      </c>
      <c r="K19" s="30">
        <f t="shared" si="16"/>
        <v>5869</v>
      </c>
      <c r="L19" s="36">
        <f t="shared" si="3"/>
        <v>939.04</v>
      </c>
      <c r="M19" s="36">
        <f t="shared" si="4"/>
        <v>29.35</v>
      </c>
      <c r="N19" s="36">
        <f>ROUND(J19*0.011,2)</f>
        <v>64.56</v>
      </c>
      <c r="O19" s="36">
        <f t="shared" si="6"/>
        <v>575.16</v>
      </c>
      <c r="P19" s="36">
        <f t="shared" si="7"/>
        <v>1608.11</v>
      </c>
      <c r="Q19" s="36">
        <f t="shared" si="8"/>
        <v>469.52</v>
      </c>
      <c r="R19" s="36">
        <f t="shared" si="9"/>
        <v>120.38</v>
      </c>
      <c r="S19" s="36">
        <f t="shared" si="10"/>
        <v>29.345</v>
      </c>
      <c r="T19" s="36">
        <f t="shared" si="11"/>
        <v>619.245</v>
      </c>
      <c r="U19" s="36">
        <f t="shared" si="12"/>
        <v>2227.355</v>
      </c>
      <c r="V19" s="46">
        <v>44471</v>
      </c>
      <c r="W19" s="47">
        <v>44835</v>
      </c>
      <c r="X19" s="29" t="s">
        <v>44</v>
      </c>
      <c r="Y19" s="51" t="s">
        <v>44</v>
      </c>
    </row>
    <row r="20" s="17" customFormat="1" spans="1:25">
      <c r="A20" s="31">
        <v>31</v>
      </c>
      <c r="B20" s="31" t="s">
        <v>7</v>
      </c>
      <c r="C20" s="31" t="s">
        <v>175</v>
      </c>
      <c r="D20" s="32" t="s">
        <v>128</v>
      </c>
      <c r="E20" s="32"/>
      <c r="F20" s="32" t="s">
        <v>176</v>
      </c>
      <c r="G20" s="33" t="s">
        <v>51</v>
      </c>
      <c r="H20" s="33">
        <v>4000</v>
      </c>
      <c r="I20" s="33">
        <f t="shared" si="14"/>
        <v>5869</v>
      </c>
      <c r="J20" s="33">
        <f t="shared" si="15"/>
        <v>5869</v>
      </c>
      <c r="K20" s="33">
        <f t="shared" si="16"/>
        <v>5869</v>
      </c>
      <c r="L20" s="37">
        <f t="shared" si="3"/>
        <v>939.04</v>
      </c>
      <c r="M20" s="37">
        <f t="shared" si="4"/>
        <v>29.35</v>
      </c>
      <c r="N20" s="37">
        <f>ROUND(J20*0.009,2)</f>
        <v>52.82</v>
      </c>
      <c r="O20" s="37">
        <f t="shared" si="6"/>
        <v>575.16</v>
      </c>
      <c r="P20" s="37">
        <f t="shared" si="7"/>
        <v>1596.37</v>
      </c>
      <c r="Q20" s="37">
        <f t="shared" si="8"/>
        <v>469.52</v>
      </c>
      <c r="R20" s="37">
        <f t="shared" si="9"/>
        <v>120.38</v>
      </c>
      <c r="S20" s="37">
        <f t="shared" si="10"/>
        <v>29.345</v>
      </c>
      <c r="T20" s="37">
        <f t="shared" si="11"/>
        <v>619.245</v>
      </c>
      <c r="U20" s="37">
        <f t="shared" si="12"/>
        <v>2215.615</v>
      </c>
      <c r="V20" s="48">
        <v>44682</v>
      </c>
      <c r="W20" s="48">
        <v>44866</v>
      </c>
      <c r="X20" s="49" t="s">
        <v>44</v>
      </c>
      <c r="Y20" s="49" t="s">
        <v>44</v>
      </c>
    </row>
    <row r="21" s="18" customFormat="1" ht="14.25" spans="1:25">
      <c r="A21" s="31">
        <v>33</v>
      </c>
      <c r="B21" s="31" t="s">
        <v>7</v>
      </c>
      <c r="C21" s="31" t="s">
        <v>177</v>
      </c>
      <c r="D21" s="31" t="s">
        <v>56</v>
      </c>
      <c r="E21" s="31"/>
      <c r="F21" s="73" t="s">
        <v>178</v>
      </c>
      <c r="G21" s="31" t="s">
        <v>48</v>
      </c>
      <c r="H21" s="33">
        <v>5500</v>
      </c>
      <c r="I21" s="33">
        <f t="shared" si="14"/>
        <v>5869</v>
      </c>
      <c r="J21" s="33">
        <f t="shared" si="15"/>
        <v>5869</v>
      </c>
      <c r="K21" s="33">
        <f t="shared" si="16"/>
        <v>5869</v>
      </c>
      <c r="L21" s="38">
        <f t="shared" si="3"/>
        <v>939.04</v>
      </c>
      <c r="M21" s="38">
        <f t="shared" si="4"/>
        <v>29.35</v>
      </c>
      <c r="N21" s="38">
        <f>ROUND(J21*0.009,2)</f>
        <v>52.82</v>
      </c>
      <c r="O21" s="38">
        <f t="shared" si="6"/>
        <v>575.16</v>
      </c>
      <c r="P21" s="38">
        <f t="shared" si="7"/>
        <v>1596.37</v>
      </c>
      <c r="Q21" s="38">
        <f t="shared" si="8"/>
        <v>469.52</v>
      </c>
      <c r="R21" s="38">
        <f t="shared" si="9"/>
        <v>120.38</v>
      </c>
      <c r="S21" s="38">
        <f t="shared" si="10"/>
        <v>29.345</v>
      </c>
      <c r="T21" s="38">
        <f t="shared" si="11"/>
        <v>619.245</v>
      </c>
      <c r="U21" s="38">
        <f t="shared" si="12"/>
        <v>2215.615</v>
      </c>
      <c r="V21" s="50">
        <v>44805</v>
      </c>
      <c r="W21" s="48">
        <v>44866</v>
      </c>
      <c r="X21" s="31" t="s">
        <v>44</v>
      </c>
      <c r="Y21" s="49" t="s">
        <v>44</v>
      </c>
    </row>
  </sheetData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3"/>
  <sheetViews>
    <sheetView workbookViewId="0">
      <selection activeCell="D4" sqref="D4"/>
    </sheetView>
  </sheetViews>
  <sheetFormatPr defaultColWidth="9" defaultRowHeight="14.25"/>
  <cols>
    <col min="1" max="1" width="6.41666666666667" customWidth="1"/>
    <col min="2" max="2" width="17.25" customWidth="1"/>
    <col min="3" max="3" width="11.6666666666667" customWidth="1"/>
    <col min="4" max="4" width="8.5" customWidth="1"/>
    <col min="5" max="6" width="11.5" customWidth="1"/>
    <col min="7" max="7" width="8.5" customWidth="1"/>
    <col min="8" max="9" width="4" customWidth="1"/>
    <col min="10" max="10" width="8.08333333333333" customWidth="1"/>
    <col min="11" max="11" width="11.5" customWidth="1"/>
  </cols>
  <sheetData>
    <row r="1" ht="28.5" spans="1:58">
      <c r="A1" s="10" t="s">
        <v>19</v>
      </c>
      <c r="B1" s="10" t="s">
        <v>21</v>
      </c>
      <c r="C1" s="10" t="s">
        <v>22</v>
      </c>
      <c r="D1" s="11" t="s">
        <v>179</v>
      </c>
      <c r="E1" s="11" t="s">
        <v>180</v>
      </c>
      <c r="F1" s="11" t="s">
        <v>181</v>
      </c>
      <c r="G1" s="11" t="s">
        <v>182</v>
      </c>
      <c r="H1" s="11" t="s">
        <v>183</v>
      </c>
      <c r="I1" s="11" t="s">
        <v>184</v>
      </c>
      <c r="J1" s="11" t="s">
        <v>185</v>
      </c>
      <c r="K1" s="11" t="s">
        <v>186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</row>
    <row r="2" spans="1:11">
      <c r="A2" s="2" t="s">
        <v>40</v>
      </c>
      <c r="B2" s="74" t="s">
        <v>42</v>
      </c>
      <c r="C2" s="2" t="s">
        <v>43</v>
      </c>
      <c r="D2" s="2">
        <v>10000</v>
      </c>
      <c r="E2" s="2">
        <f>D2*0.05</f>
        <v>500</v>
      </c>
      <c r="F2" s="2"/>
      <c r="G2" s="2">
        <f>E2+F2</f>
        <v>500</v>
      </c>
      <c r="H2" s="2"/>
      <c r="I2" s="2"/>
      <c r="J2" s="2" t="s">
        <v>9</v>
      </c>
      <c r="K2" s="2"/>
    </row>
    <row r="3" spans="1:11">
      <c r="A3" s="2" t="s">
        <v>187</v>
      </c>
      <c r="B3" s="74" t="s">
        <v>59</v>
      </c>
      <c r="C3" s="2" t="s">
        <v>43</v>
      </c>
      <c r="D3" s="2">
        <v>6500</v>
      </c>
      <c r="E3" s="2">
        <f>D3*0.05</f>
        <v>325</v>
      </c>
      <c r="F3" s="2"/>
      <c r="G3" s="2">
        <f>E3+F3</f>
        <v>325</v>
      </c>
      <c r="H3" s="2"/>
      <c r="I3" s="2"/>
      <c r="J3" s="2" t="s">
        <v>9</v>
      </c>
      <c r="K3" s="2"/>
    </row>
    <row r="4" spans="1:11">
      <c r="A4" s="2" t="s">
        <v>188</v>
      </c>
      <c r="B4" s="2"/>
      <c r="C4" s="2"/>
      <c r="D4" s="2"/>
      <c r="E4" s="2"/>
      <c r="F4" s="2"/>
      <c r="G4" s="2"/>
      <c r="H4" s="2"/>
      <c r="I4" s="2"/>
      <c r="J4" s="2"/>
      <c r="K4" s="2"/>
    </row>
    <row r="13" spans="5:5">
      <c r="E13" s="12"/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7" sqref="B17"/>
    </sheetView>
  </sheetViews>
  <sheetFormatPr defaultColWidth="8.66666666666667" defaultRowHeight="14.25" outlineLevelRow="4" outlineLevelCol="1"/>
  <cols>
    <col min="1" max="1" width="23.9166666666667" customWidth="1"/>
    <col min="2" max="2" width="10.5" customWidth="1"/>
  </cols>
  <sheetData>
    <row r="1" spans="1:2">
      <c r="A1" s="8" t="s">
        <v>189</v>
      </c>
      <c r="B1" s="9" t="s">
        <v>190</v>
      </c>
    </row>
    <row r="2" spans="1:2">
      <c r="A2" s="9" t="s">
        <v>191</v>
      </c>
      <c r="B2" s="9" t="s">
        <v>192</v>
      </c>
    </row>
    <row r="3" spans="1:2">
      <c r="A3" s="9" t="s">
        <v>193</v>
      </c>
      <c r="B3" s="9" t="s">
        <v>194</v>
      </c>
    </row>
    <row r="4" spans="1:2">
      <c r="A4" s="9" t="s">
        <v>195</v>
      </c>
      <c r="B4" s="9" t="s">
        <v>192</v>
      </c>
    </row>
    <row r="5" spans="1:2">
      <c r="A5" s="9" t="s">
        <v>196</v>
      </c>
      <c r="B5" s="9" t="s">
        <v>197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7" sqref="H17"/>
    </sheetView>
  </sheetViews>
  <sheetFormatPr defaultColWidth="8.66666666666667" defaultRowHeight="14.2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I29" sqref="I29"/>
    </sheetView>
  </sheetViews>
  <sheetFormatPr defaultColWidth="9" defaultRowHeight="14.25" outlineLevelCol="4"/>
  <cols>
    <col min="3" max="3" width="16" customWidth="1"/>
  </cols>
  <sheetData>
    <row r="1" spans="1:5">
      <c r="A1" s="1" t="s">
        <v>40</v>
      </c>
      <c r="B1" s="2" t="s">
        <v>17</v>
      </c>
      <c r="C1" s="3" t="str">
        <f t="shared" ref="C1:C33" si="0">A1&amp;B1</f>
        <v>徐利斌总经理室</v>
      </c>
      <c r="D1" s="3" t="s">
        <v>40</v>
      </c>
      <c r="E1" s="3" t="s">
        <v>17</v>
      </c>
    </row>
    <row r="2" spans="1:5">
      <c r="A2" s="1" t="s">
        <v>45</v>
      </c>
      <c r="B2" s="2" t="s">
        <v>8</v>
      </c>
      <c r="C2" s="3" t="str">
        <f t="shared" si="0"/>
        <v>赵沙客服部</v>
      </c>
      <c r="D2" s="4" t="s">
        <v>45</v>
      </c>
      <c r="E2" s="4" t="s">
        <v>8</v>
      </c>
    </row>
    <row r="3" spans="1:5">
      <c r="A3" s="1" t="s">
        <v>49</v>
      </c>
      <c r="B3" s="2" t="s">
        <v>8</v>
      </c>
      <c r="C3" s="3" t="str">
        <f t="shared" si="0"/>
        <v>赵兴华客服部</v>
      </c>
      <c r="D3" s="4" t="s">
        <v>49</v>
      </c>
      <c r="E3" s="4" t="s">
        <v>8</v>
      </c>
    </row>
    <row r="4" spans="1:5">
      <c r="A4" s="1" t="s">
        <v>52</v>
      </c>
      <c r="B4" s="2" t="s">
        <v>12</v>
      </c>
      <c r="C4" s="3" t="str">
        <f t="shared" si="0"/>
        <v>刘述珍商贸部</v>
      </c>
      <c r="D4" s="4" t="s">
        <v>52</v>
      </c>
      <c r="E4" s="4" t="s">
        <v>12</v>
      </c>
    </row>
    <row r="5" spans="1:5">
      <c r="A5" s="1" t="s">
        <v>55</v>
      </c>
      <c r="B5" s="2" t="s">
        <v>4</v>
      </c>
      <c r="C5" s="3" t="str">
        <f t="shared" si="0"/>
        <v>李伟朋财务部</v>
      </c>
      <c r="D5" s="4" t="s">
        <v>55</v>
      </c>
      <c r="E5" s="4" t="s">
        <v>4</v>
      </c>
    </row>
    <row r="6" spans="1:5">
      <c r="A6" s="1" t="s">
        <v>58</v>
      </c>
      <c r="B6" s="2" t="s">
        <v>4</v>
      </c>
      <c r="C6" s="3" t="str">
        <f t="shared" si="0"/>
        <v>刘柯财务部</v>
      </c>
      <c r="D6" s="4" t="s">
        <v>58</v>
      </c>
      <c r="E6" s="4" t="s">
        <v>4</v>
      </c>
    </row>
    <row r="7" spans="1:5">
      <c r="A7" s="1" t="s">
        <v>60</v>
      </c>
      <c r="B7" s="2" t="s">
        <v>6</v>
      </c>
      <c r="C7" s="3" t="str">
        <f t="shared" si="0"/>
        <v>张立昆工程部</v>
      </c>
      <c r="D7" s="4" t="s">
        <v>60</v>
      </c>
      <c r="E7" s="4" t="s">
        <v>6</v>
      </c>
    </row>
    <row r="8" spans="1:5">
      <c r="A8" s="1" t="s">
        <v>63</v>
      </c>
      <c r="B8" s="2" t="s">
        <v>6</v>
      </c>
      <c r="C8" s="3" t="str">
        <f t="shared" si="0"/>
        <v>李军工程部</v>
      </c>
      <c r="D8" s="4" t="s">
        <v>63</v>
      </c>
      <c r="E8" s="4" t="s">
        <v>6</v>
      </c>
    </row>
    <row r="9" spans="1:5">
      <c r="A9" s="1" t="s">
        <v>65</v>
      </c>
      <c r="B9" s="2" t="s">
        <v>6</v>
      </c>
      <c r="C9" s="3" t="str">
        <f t="shared" si="0"/>
        <v>孔小贺工程部</v>
      </c>
      <c r="D9" s="4" t="s">
        <v>65</v>
      </c>
      <c r="E9" s="4" t="s">
        <v>6</v>
      </c>
    </row>
    <row r="10" spans="1:5">
      <c r="A10" s="1" t="s">
        <v>67</v>
      </c>
      <c r="B10" s="2" t="s">
        <v>10</v>
      </c>
      <c r="C10" s="3" t="str">
        <f t="shared" si="0"/>
        <v>孙方涛人资部</v>
      </c>
      <c r="D10" s="4" t="s">
        <v>67</v>
      </c>
      <c r="E10" s="4" t="s">
        <v>10</v>
      </c>
    </row>
    <row r="11" spans="1:5">
      <c r="A11" s="1" t="s">
        <v>70</v>
      </c>
      <c r="B11" s="2" t="s">
        <v>16</v>
      </c>
      <c r="C11" s="3" t="str">
        <f t="shared" si="0"/>
        <v>郭佩港运维部</v>
      </c>
      <c r="D11" s="4" t="s">
        <v>70</v>
      </c>
      <c r="E11" s="4" t="s">
        <v>16</v>
      </c>
    </row>
    <row r="12" spans="1:5">
      <c r="A12" s="1" t="s">
        <v>73</v>
      </c>
      <c r="B12" s="2" t="s">
        <v>16</v>
      </c>
      <c r="C12" s="3" t="str">
        <f t="shared" si="0"/>
        <v>万树壮运维部</v>
      </c>
      <c r="D12" s="4" t="s">
        <v>73</v>
      </c>
      <c r="E12" s="4" t="s">
        <v>16</v>
      </c>
    </row>
    <row r="13" spans="1:5">
      <c r="A13" s="1" t="s">
        <v>75</v>
      </c>
      <c r="B13" s="2" t="s">
        <v>16</v>
      </c>
      <c r="C13" s="3" t="str">
        <f t="shared" si="0"/>
        <v>李君运维部</v>
      </c>
      <c r="D13" s="4" t="s">
        <v>75</v>
      </c>
      <c r="E13" s="4" t="s">
        <v>16</v>
      </c>
    </row>
    <row r="14" spans="1:5">
      <c r="A14" s="1" t="s">
        <v>77</v>
      </c>
      <c r="B14" s="2" t="s">
        <v>16</v>
      </c>
      <c r="C14" s="3" t="str">
        <f t="shared" si="0"/>
        <v>赵坤宇运维部</v>
      </c>
      <c r="D14" s="4" t="s">
        <v>77</v>
      </c>
      <c r="E14" s="4" t="s">
        <v>16</v>
      </c>
    </row>
    <row r="15" spans="1:5">
      <c r="A15" s="1" t="s">
        <v>79</v>
      </c>
      <c r="B15" s="2" t="s">
        <v>10</v>
      </c>
      <c r="C15" s="3" t="str">
        <f t="shared" si="0"/>
        <v>赵锦誉人资部</v>
      </c>
      <c r="D15" s="4" t="s">
        <v>79</v>
      </c>
      <c r="E15" s="4" t="s">
        <v>10</v>
      </c>
    </row>
    <row r="16" spans="1:5">
      <c r="A16" s="5" t="s">
        <v>84</v>
      </c>
      <c r="B16" s="2" t="s">
        <v>16</v>
      </c>
      <c r="C16" s="3" t="str">
        <f t="shared" si="0"/>
        <v>石亚辉运维部</v>
      </c>
      <c r="D16" s="4" t="s">
        <v>84</v>
      </c>
      <c r="E16" s="4" t="s">
        <v>16</v>
      </c>
    </row>
    <row r="17" spans="1:5">
      <c r="A17" s="5" t="s">
        <v>173</v>
      </c>
      <c r="B17" s="2" t="s">
        <v>16</v>
      </c>
      <c r="C17" s="3" t="str">
        <f t="shared" si="0"/>
        <v>李树森运维部</v>
      </c>
      <c r="D17" s="4" t="s">
        <v>173</v>
      </c>
      <c r="E17" s="4" t="s">
        <v>16</v>
      </c>
    </row>
    <row r="18" spans="1:5">
      <c r="A18" s="5" t="s">
        <v>88</v>
      </c>
      <c r="B18" s="2" t="s">
        <v>16</v>
      </c>
      <c r="C18" s="3" t="str">
        <f t="shared" si="0"/>
        <v>胡冬杰运维部</v>
      </c>
      <c r="D18" s="4" t="s">
        <v>88</v>
      </c>
      <c r="E18" s="4" t="s">
        <v>16</v>
      </c>
    </row>
    <row r="19" spans="1:5">
      <c r="A19" s="5" t="s">
        <v>90</v>
      </c>
      <c r="B19" s="2" t="s">
        <v>16</v>
      </c>
      <c r="C19" s="3" t="str">
        <f t="shared" si="0"/>
        <v>程亚东运维部</v>
      </c>
      <c r="D19" s="4" t="s">
        <v>90</v>
      </c>
      <c r="E19" s="4" t="s">
        <v>16</v>
      </c>
    </row>
    <row r="20" spans="1:5">
      <c r="A20" s="5" t="s">
        <v>93</v>
      </c>
      <c r="B20" s="2" t="s">
        <v>16</v>
      </c>
      <c r="C20" s="3" t="str">
        <f t="shared" si="0"/>
        <v>袁宝林运维部</v>
      </c>
      <c r="D20" s="4" t="s">
        <v>93</v>
      </c>
      <c r="E20" s="4" t="s">
        <v>16</v>
      </c>
    </row>
    <row r="21" spans="1:5">
      <c r="A21" s="5" t="s">
        <v>96</v>
      </c>
      <c r="B21" s="2" t="s">
        <v>16</v>
      </c>
      <c r="C21" s="3" t="str">
        <f t="shared" si="0"/>
        <v>王久利运维部</v>
      </c>
      <c r="D21" s="4" t="s">
        <v>96</v>
      </c>
      <c r="E21" s="4" t="s">
        <v>16</v>
      </c>
    </row>
    <row r="22" spans="1:5">
      <c r="A22" s="5" t="s">
        <v>99</v>
      </c>
      <c r="B22" s="2" t="s">
        <v>16</v>
      </c>
      <c r="C22" s="3" t="str">
        <f t="shared" si="0"/>
        <v>张建平运维部</v>
      </c>
      <c r="D22" s="4" t="s">
        <v>99</v>
      </c>
      <c r="E22" s="4" t="s">
        <v>16</v>
      </c>
    </row>
    <row r="23" spans="1:5">
      <c r="A23" s="5" t="s">
        <v>102</v>
      </c>
      <c r="B23" s="2" t="s">
        <v>16</v>
      </c>
      <c r="C23" s="3" t="str">
        <f t="shared" si="0"/>
        <v>王晓兵运维部</v>
      </c>
      <c r="D23" s="4" t="s">
        <v>102</v>
      </c>
      <c r="E23" s="4" t="s">
        <v>16</v>
      </c>
    </row>
    <row r="24" spans="1:5">
      <c r="A24" s="5" t="s">
        <v>104</v>
      </c>
      <c r="B24" s="2" t="s">
        <v>10</v>
      </c>
      <c r="C24" s="3" t="str">
        <f t="shared" si="0"/>
        <v>肖丽琴人资部</v>
      </c>
      <c r="D24" s="4" t="s">
        <v>104</v>
      </c>
      <c r="E24" s="4" t="s">
        <v>10</v>
      </c>
    </row>
    <row r="25" spans="1:5">
      <c r="A25" s="6" t="s">
        <v>106</v>
      </c>
      <c r="B25" s="2" t="s">
        <v>8</v>
      </c>
      <c r="C25" s="3" t="str">
        <f t="shared" si="0"/>
        <v>王梦飞客服部</v>
      </c>
      <c r="D25" s="4" t="s">
        <v>106</v>
      </c>
      <c r="E25" s="4" t="s">
        <v>8</v>
      </c>
    </row>
    <row r="26" spans="1:5">
      <c r="A26" s="2" t="s">
        <v>132</v>
      </c>
      <c r="B26" s="2" t="s">
        <v>4</v>
      </c>
      <c r="C26" s="3" t="str">
        <f t="shared" si="0"/>
        <v>徐禹烨财务部</v>
      </c>
      <c r="D26" s="4" t="s">
        <v>132</v>
      </c>
      <c r="E26" s="4" t="s">
        <v>4</v>
      </c>
    </row>
    <row r="27" spans="1:5">
      <c r="A27" s="6" t="s">
        <v>81</v>
      </c>
      <c r="B27" s="2" t="s">
        <v>15</v>
      </c>
      <c r="C27" s="3" t="str">
        <f t="shared" si="0"/>
        <v>申瑛信息部</v>
      </c>
      <c r="D27" s="4" t="s">
        <v>81</v>
      </c>
      <c r="E27" s="4" t="s">
        <v>15</v>
      </c>
    </row>
    <row r="28" spans="1:5">
      <c r="A28" s="6" t="s">
        <v>119</v>
      </c>
      <c r="B28" s="2" t="s">
        <v>15</v>
      </c>
      <c r="C28" s="3" t="str">
        <f t="shared" si="0"/>
        <v>赵辉信息部</v>
      </c>
      <c r="D28" s="4" t="s">
        <v>119</v>
      </c>
      <c r="E28" s="4" t="s">
        <v>15</v>
      </c>
    </row>
    <row r="29" spans="1:5">
      <c r="A29" s="2" t="s">
        <v>121</v>
      </c>
      <c r="B29" s="7" t="s">
        <v>16</v>
      </c>
      <c r="C29" s="3" t="str">
        <f t="shared" si="0"/>
        <v>许云付运维部</v>
      </c>
      <c r="D29" s="4" t="s">
        <v>121</v>
      </c>
      <c r="E29" s="4" t="s">
        <v>16</v>
      </c>
    </row>
    <row r="30" spans="1:5">
      <c r="A30" s="2" t="s">
        <v>175</v>
      </c>
      <c r="B30" s="7" t="s">
        <v>128</v>
      </c>
      <c r="C30" s="3" t="str">
        <f t="shared" si="0"/>
        <v>吴善梅销售中心</v>
      </c>
      <c r="D30" s="4" t="s">
        <v>175</v>
      </c>
      <c r="E30" s="4" t="s">
        <v>128</v>
      </c>
    </row>
    <row r="31" spans="1:5">
      <c r="A31" s="6" t="s">
        <v>125</v>
      </c>
      <c r="B31" s="2" t="s">
        <v>16</v>
      </c>
      <c r="C31" s="3" t="str">
        <f t="shared" si="0"/>
        <v>邱维保运维部</v>
      </c>
      <c r="D31" s="4" t="s">
        <v>125</v>
      </c>
      <c r="E31" s="4" t="s">
        <v>16</v>
      </c>
    </row>
    <row r="32" spans="1:5">
      <c r="A32" s="6" t="s">
        <v>169</v>
      </c>
      <c r="B32" s="2" t="s">
        <v>16</v>
      </c>
      <c r="C32" s="3" t="str">
        <f t="shared" si="0"/>
        <v>韩耀得运维部</v>
      </c>
      <c r="D32" s="4" t="s">
        <v>169</v>
      </c>
      <c r="E32" s="4" t="s">
        <v>16</v>
      </c>
    </row>
    <row r="33" spans="1:5">
      <c r="A33" s="6" t="s">
        <v>167</v>
      </c>
      <c r="B33" s="2" t="s">
        <v>16</v>
      </c>
      <c r="C33" s="3" t="str">
        <f t="shared" si="0"/>
        <v>李宏斌运维部</v>
      </c>
      <c r="D33" s="4" t="s">
        <v>167</v>
      </c>
      <c r="E33" s="4" t="s">
        <v>16</v>
      </c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1 " > < c o m m e n t   s : r e f = " N 2 7 "   r g b C l r = " 5 5 C 7 A 4 " / > < c o m m e n t   s : r e f = " N 3 1 "   r g b C l r = " 2 F C 8 6 0 " / > < / c o m m e n t L i s t > < c o m m e n t L i s t   s h e e t S t i d = " 2 3 " > < c o m m e n t   s : r e f = " O 1 "   r g b C l r = " F 3 C 5 C C " / > < c o m m e n t   s : r e f = " N 1 4 "   r g b C l r = " 2 F C 8 6 0 " / > < / c o m m e n t L i s t > < c o m m e n t L i s t   s h e e t S t i d = " 2 6 " > < c o m m e n t   s : r e f = " A 4 "   r g b C l r = " B 3 C 3 3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社保分析</vt:lpstr>
      <vt:lpstr>社保缴纳明细</vt:lpstr>
      <vt:lpstr>社保减员明细 </vt:lpstr>
      <vt:lpstr>公积金</vt:lpstr>
      <vt:lpstr>对应银行</vt:lpstr>
      <vt:lpstr>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孙方涛</cp:lastModifiedBy>
  <dcterms:created xsi:type="dcterms:W3CDTF">1996-12-17T01:32:00Z</dcterms:created>
  <cp:lastPrinted>2015-07-23T04:35:00Z</cp:lastPrinted>
  <dcterms:modified xsi:type="dcterms:W3CDTF">2022-11-16T06:26:41Z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E60D41C0B453428EAF71773BA7A0CE72</vt:lpwstr>
  </property>
  <property fmtid="{D5CDD505-2E9C-101B-9397-08002B2CF9AE}" pid="4" name="commondata">
    <vt:lpwstr>eyJoZGlkIjoiNzQ1N2ZhMjZmYjdmYjY1ODJlZTlhOTA0MzBkOWY2MTYifQ==</vt:lpwstr>
  </property>
</Properties>
</file>