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801"/>
  </bookViews>
  <sheets>
    <sheet name="社保" sheetId="21" r:id="rId1"/>
    <sheet name="公积金" sheetId="15" r:id="rId2"/>
    <sheet name="1月部门预算" sheetId="18" r:id="rId3"/>
    <sheet name="财务" sheetId="19" r:id="rId4"/>
    <sheet name="国贸" sheetId="20" r:id="rId5"/>
    <sheet name="对应银行" sheetId="22" r:id="rId6"/>
    <sheet name="Sheet1" sheetId="23" r:id="rId7"/>
  </sheets>
  <externalReferences>
    <externalReference r:id="rId8"/>
  </externalReferences>
  <definedNames>
    <definedName name="_xlnm._FilterDatabase" localSheetId="2" hidden="1">'1月部门预算'!$A$1:$V$41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M1" authorId="0">
      <text>
        <r>
          <rPr>
            <b/>
            <sz val="9"/>
            <rFont val="Tahoma"/>
            <charset val="134"/>
          </rPr>
          <t>5%+0.4%</t>
        </r>
      </text>
    </comment>
    <comment ref="C2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  <comment ref="L33" authorId="1">
      <text>
        <r>
          <rPr>
            <sz val="9"/>
            <rFont val="宋体"/>
            <charset val="134"/>
          </rPr>
          <t>荣辉工伤系数为1.1%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N2" authorId="0">
      <text>
        <r>
          <rPr>
            <b/>
            <sz val="9"/>
            <rFont val="Tahoma"/>
            <charset val="134"/>
          </rPr>
          <t>5%+0.4%</t>
        </r>
      </text>
    </comment>
    <comment ref="D3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  <comment ref="D3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D3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D40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</commentList>
</comments>
</file>

<file path=xl/comments3.xml><?xml version="1.0" encoding="utf-8"?>
<comments xmlns="http://schemas.openxmlformats.org/spreadsheetml/2006/main">
  <authors>
    <author>86186</author>
  </authors>
  <commentList>
    <comment ref="C8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</commentList>
</comments>
</file>

<file path=xl/comments4.xml><?xml version="1.0" encoding="utf-8"?>
<comments xmlns="http://schemas.openxmlformats.org/spreadsheetml/2006/main">
  <authors>
    <author>86186</author>
  </authors>
  <commentList>
    <comment ref="C23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</commentList>
</comments>
</file>

<file path=xl/sharedStrings.xml><?xml version="1.0" encoding="utf-8"?>
<sst xmlns="http://schemas.openxmlformats.org/spreadsheetml/2006/main" count="521" uniqueCount="161">
  <si>
    <t>序号</t>
  </si>
  <si>
    <t>单位</t>
  </si>
  <si>
    <t>姓名</t>
  </si>
  <si>
    <t>身份证号</t>
  </si>
  <si>
    <t>户口性质</t>
  </si>
  <si>
    <t>申报基数</t>
  </si>
  <si>
    <t>养老、失业基数</t>
  </si>
  <si>
    <t>工伤基数</t>
  </si>
  <si>
    <t>医疗、生育基数</t>
  </si>
  <si>
    <t>养老公司</t>
  </si>
  <si>
    <t>失业公司</t>
  </si>
  <si>
    <t>工伤公司</t>
  </si>
  <si>
    <t>医疗（含生育）</t>
  </si>
  <si>
    <t>公司部分合计</t>
  </si>
  <si>
    <t>养老个人</t>
  </si>
  <si>
    <t>医疗个人</t>
  </si>
  <si>
    <t>失业个人</t>
  </si>
  <si>
    <t>个人部分合计</t>
  </si>
  <si>
    <t>缴费合计</t>
  </si>
  <si>
    <t>三汇能环</t>
  </si>
  <si>
    <t>徐利斌</t>
  </si>
  <si>
    <t>432503197103130052</t>
  </si>
  <si>
    <t>外埠城镇职工</t>
  </si>
  <si>
    <t>刘柯</t>
  </si>
  <si>
    <t>432522197611196401</t>
  </si>
  <si>
    <t>孙方涛</t>
  </si>
  <si>
    <t>230421198108242419</t>
  </si>
  <si>
    <t>外埠农村劳动力</t>
  </si>
  <si>
    <t>李君</t>
  </si>
  <si>
    <t>431202198109180457</t>
  </si>
  <si>
    <t>郭佩港</t>
  </si>
  <si>
    <t>432522199709185814</t>
  </si>
  <si>
    <t>李军</t>
  </si>
  <si>
    <t>132424197710164217</t>
  </si>
  <si>
    <t>沈铮</t>
  </si>
  <si>
    <t>130281199911172313</t>
  </si>
  <si>
    <t>赵兴华</t>
  </si>
  <si>
    <t>130433198607190328</t>
  </si>
  <si>
    <t>李伟朋</t>
  </si>
  <si>
    <t>411627199212156455</t>
  </si>
  <si>
    <t>张立昆</t>
  </si>
  <si>
    <t>130623198601080310</t>
  </si>
  <si>
    <t>栗建龙</t>
  </si>
  <si>
    <t>130434199910083139</t>
  </si>
  <si>
    <t>邱维保</t>
  </si>
  <si>
    <t>432302196409273716</t>
  </si>
  <si>
    <t>崔志猛</t>
  </si>
  <si>
    <t>130427199211190716</t>
  </si>
  <si>
    <t>王梦飞</t>
  </si>
  <si>
    <t>131002198901011882</t>
  </si>
  <si>
    <t>夏振海</t>
  </si>
  <si>
    <t>130228196511102337</t>
  </si>
  <si>
    <t>万树壮</t>
  </si>
  <si>
    <t>130823199507096215</t>
  </si>
  <si>
    <t>张旭</t>
  </si>
  <si>
    <t>131082198911235515</t>
  </si>
  <si>
    <t>董成龙</t>
  </si>
  <si>
    <t>371426198902212835</t>
  </si>
  <si>
    <t>王叶</t>
  </si>
  <si>
    <t>130683199008013388</t>
  </si>
  <si>
    <t>赵坤宇</t>
  </si>
  <si>
    <t>130929200002024653</t>
  </si>
  <si>
    <t>赵沙</t>
  </si>
  <si>
    <t>110108198603013125</t>
  </si>
  <si>
    <t>本市城镇职工</t>
  </si>
  <si>
    <t>徐禹烨</t>
  </si>
  <si>
    <t>432501200210260022</t>
  </si>
  <si>
    <t>刘述珍</t>
  </si>
  <si>
    <t>43252219731110582X</t>
  </si>
  <si>
    <t>申瑛</t>
  </si>
  <si>
    <t>430521199307196854</t>
  </si>
  <si>
    <t>赵辉</t>
  </si>
  <si>
    <t>110224198601021813</t>
  </si>
  <si>
    <t>陈国清</t>
  </si>
  <si>
    <t>360502197404181658</t>
  </si>
  <si>
    <t>本市农村劳动力</t>
  </si>
  <si>
    <t>魏爱兵</t>
  </si>
  <si>
    <t>372501197403192053</t>
  </si>
  <si>
    <t>向丹丹</t>
  </si>
  <si>
    <t>430703198612021122</t>
  </si>
  <si>
    <t>刘靳</t>
  </si>
  <si>
    <t>110103198608051540</t>
  </si>
  <si>
    <t>张建峰</t>
  </si>
  <si>
    <t>370421197007314619</t>
  </si>
  <si>
    <t>周飞燕</t>
  </si>
  <si>
    <t>430422198107210080</t>
  </si>
  <si>
    <t>荣辉洁源</t>
  </si>
  <si>
    <t>肖丽琴</t>
  </si>
  <si>
    <t>362428198310203224</t>
  </si>
  <si>
    <t>芝麻物联</t>
  </si>
  <si>
    <t>任风武</t>
  </si>
  <si>
    <t>150429197803240913</t>
  </si>
  <si>
    <t>三汇冷暖</t>
  </si>
  <si>
    <t>许云付</t>
  </si>
  <si>
    <t>430422196803031239</t>
  </si>
  <si>
    <t>合计</t>
  </si>
  <si>
    <t>公积金基数</t>
  </si>
  <si>
    <t>公积金公司部分</t>
  </si>
  <si>
    <t>公积金个人部分</t>
  </si>
  <si>
    <t>公积金合计</t>
  </si>
  <si>
    <t>工资</t>
  </si>
  <si>
    <t>个税</t>
  </si>
  <si>
    <t>账户</t>
  </si>
  <si>
    <t>是否含补缴费用</t>
  </si>
  <si>
    <t>刘  柯</t>
  </si>
  <si>
    <t>合  计</t>
  </si>
  <si>
    <t>部门</t>
  </si>
  <si>
    <t>其他公司</t>
  </si>
  <si>
    <t>社保公司部分合计</t>
  </si>
  <si>
    <t>其他个人</t>
  </si>
  <si>
    <t>社保个人部分合计</t>
  </si>
  <si>
    <t>社保缴费合计</t>
  </si>
  <si>
    <t>销售中心</t>
  </si>
  <si>
    <t>财务中心</t>
  </si>
  <si>
    <t>综合中心</t>
  </si>
  <si>
    <t>运维事业部</t>
  </si>
  <si>
    <t>望京项目部</t>
  </si>
  <si>
    <t>工程中心</t>
  </si>
  <si>
    <t>客服中心</t>
  </si>
  <si>
    <t>国贸项目部</t>
  </si>
  <si>
    <t>石亚辉</t>
  </si>
  <si>
    <t>132401196603306313</t>
  </si>
  <si>
    <t>张建平</t>
  </si>
  <si>
    <t>130731196609210059</t>
  </si>
  <si>
    <t>中关村项目部</t>
  </si>
  <si>
    <t>王秀强</t>
  </si>
  <si>
    <t>110224197404134419</t>
  </si>
  <si>
    <t>王晓兵</t>
  </si>
  <si>
    <t>410521198705228075</t>
  </si>
  <si>
    <t>胡冬杰</t>
  </si>
  <si>
    <t>130623198606032414</t>
  </si>
  <si>
    <t>燕郊项目部</t>
  </si>
  <si>
    <t>郑建明</t>
  </si>
  <si>
    <t>132532197309112117</t>
  </si>
  <si>
    <t>程亚东</t>
  </si>
  <si>
    <t>210922196601121216</t>
  </si>
  <si>
    <t>信息中心</t>
  </si>
  <si>
    <t>王静</t>
  </si>
  <si>
    <t>230703198903310728</t>
  </si>
  <si>
    <t>张竟一</t>
  </si>
  <si>
    <t>411381200105022619</t>
  </si>
  <si>
    <t>蔡志豪</t>
  </si>
  <si>
    <t>130629200005160419</t>
  </si>
  <si>
    <t>戴士林</t>
  </si>
  <si>
    <t>130924199601095616</t>
  </si>
  <si>
    <t>采购中心</t>
  </si>
  <si>
    <t>李树森</t>
  </si>
  <si>
    <t>130732198301262114</t>
  </si>
  <si>
    <t>宫树龙</t>
  </si>
  <si>
    <t>132532197608242157</t>
  </si>
  <si>
    <t>王久利</t>
  </si>
  <si>
    <t>132429197009253811</t>
  </si>
  <si>
    <t>公司名称</t>
  </si>
  <si>
    <t>备注</t>
  </si>
  <si>
    <t>北京三汇能环科技发展有限公司</t>
  </si>
  <si>
    <t>北京农商银行</t>
  </si>
  <si>
    <t>北京芝麻物联科技有限公司</t>
  </si>
  <si>
    <t>招商银行</t>
  </si>
  <si>
    <t>北京荣辉洁源科技发展有限公司</t>
  </si>
  <si>
    <t>北京三汇冷暖设备有限公司</t>
  </si>
  <si>
    <t>北京银行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</si>
</sst>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微软雅黑"/>
      <charset val="134"/>
    </font>
    <font>
      <b/>
      <sz val="10"/>
      <color theme="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b/>
      <sz val="9"/>
      <color theme="2"/>
      <name val="微软雅黑"/>
      <charset val="134"/>
    </font>
    <font>
      <b/>
      <sz val="9"/>
      <name val="微软雅黑"/>
      <charset val="134"/>
    </font>
    <font>
      <sz val="9"/>
      <name val="微软雅黑"/>
      <charset val="0"/>
    </font>
    <font>
      <sz val="8"/>
      <color theme="1"/>
      <name val="微软雅黑"/>
      <charset val="134"/>
    </font>
    <font>
      <sz val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9"/>
      <name val="Verdana"/>
      <charset val="134"/>
    </font>
    <font>
      <sz val="10"/>
      <name val="Genev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0" fillId="0" borderId="0"/>
    <xf numFmtId="42" fontId="17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7" fillId="31" borderId="9" applyNumberFormat="0" applyFont="0" applyAlignment="0" applyProtection="0">
      <alignment vertical="center"/>
    </xf>
    <xf numFmtId="0" fontId="1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7" fillId="0" borderId="0"/>
    <xf numFmtId="0" fontId="16" fillId="13" borderId="0" applyNumberFormat="0" applyBorder="0" applyAlignment="0" applyProtection="0">
      <alignment vertical="center"/>
    </xf>
    <xf numFmtId="0" fontId="25" fillId="0" borderId="0"/>
    <xf numFmtId="0" fontId="15" fillId="3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1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>
      <alignment vertical="top"/>
    </xf>
    <xf numFmtId="0" fontId="37" fillId="0" borderId="0"/>
    <xf numFmtId="43" fontId="17" fillId="0" borderId="0" applyFont="0" applyFill="0" applyBorder="0" applyAlignment="0" applyProtection="0">
      <alignment vertical="center"/>
    </xf>
    <xf numFmtId="0" fontId="39" fillId="0" borderId="0"/>
    <xf numFmtId="0" fontId="2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43" fontId="5" fillId="2" borderId="2" xfId="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7" fillId="0" borderId="2" xfId="66" applyNumberFormat="1" applyFont="1" applyFill="1" applyBorder="1" applyAlignment="1">
      <alignment horizontal="left" vertical="center"/>
    </xf>
    <xf numFmtId="0" fontId="6" fillId="0" borderId="2" xfId="65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49" fontId="7" fillId="0" borderId="2" xfId="66" applyNumberFormat="1" applyFont="1" applyFill="1" applyBorder="1" applyAlignment="1">
      <alignment horizontal="center" vertical="center"/>
    </xf>
    <xf numFmtId="0" fontId="6" fillId="0" borderId="2" xfId="6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49" fontId="7" fillId="0" borderId="0" xfId="66" applyNumberFormat="1" applyFont="1" applyFill="1" applyAlignment="1">
      <alignment horizontal="left" vertical="center"/>
    </xf>
    <xf numFmtId="0" fontId="6" fillId="0" borderId="0" xfId="65" applyNumberFormat="1" applyFont="1" applyFill="1" applyAlignment="1">
      <alignment horizontal="left" vertical="center"/>
    </xf>
    <xf numFmtId="176" fontId="6" fillId="0" borderId="0" xfId="0" applyNumberFormat="1" applyFont="1" applyAlignment="1">
      <alignment horizontal="left"/>
    </xf>
    <xf numFmtId="176" fontId="6" fillId="0" borderId="0" xfId="0" applyNumberFormat="1" applyFont="1" applyFill="1" applyAlignment="1">
      <alignment horizontal="left"/>
    </xf>
    <xf numFmtId="176" fontId="6" fillId="0" borderId="0" xfId="66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0" borderId="0" xfId="66" applyFont="1" applyFill="1" applyAlignment="1">
      <alignment horizontal="left"/>
    </xf>
    <xf numFmtId="0" fontId="0" fillId="0" borderId="0" xfId="0" applyFill="1"/>
    <xf numFmtId="0" fontId="10" fillId="2" borderId="2" xfId="0" applyFont="1" applyFill="1" applyBorder="1" applyAlignment="1">
      <alignment horizontal="center" vertical="center" wrapText="1"/>
    </xf>
    <xf numFmtId="43" fontId="10" fillId="2" borderId="2" xfId="9" applyFont="1" applyFill="1" applyBorder="1" applyAlignment="1">
      <alignment horizontal="center" vertical="center" wrapText="1"/>
    </xf>
    <xf numFmtId="9" fontId="0" fillId="0" borderId="0" xfId="0" applyNumberFormat="1"/>
    <xf numFmtId="0" fontId="0" fillId="3" borderId="0" xfId="0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4" fillId="0" borderId="2" xfId="65" applyNumberFormat="1" applyFont="1" applyFill="1" applyBorder="1" applyAlignment="1">
      <alignment horizontal="left" vertical="center"/>
    </xf>
    <xf numFmtId="49" fontId="4" fillId="0" borderId="2" xfId="66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4" fillId="0" borderId="2" xfId="65" applyNumberFormat="1" applyFont="1" applyFill="1" applyBorder="1" applyAlignment="1">
      <alignment horizontal="left" vertical="center"/>
    </xf>
    <xf numFmtId="0" fontId="4" fillId="0" borderId="2" xfId="65" applyNumberFormat="1" applyFont="1" applyFill="1" applyBorder="1" applyAlignment="1">
      <alignment horizontal="left" vertical="center"/>
    </xf>
    <xf numFmtId="49" fontId="4" fillId="0" borderId="2" xfId="66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/>
    </xf>
    <xf numFmtId="0" fontId="4" fillId="5" borderId="2" xfId="65" applyNumberFormat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/>
    </xf>
    <xf numFmtId="0" fontId="4" fillId="6" borderId="2" xfId="65" applyNumberFormat="1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49" fontId="4" fillId="0" borderId="2" xfId="66" applyNumberFormat="1" applyFont="1" applyFill="1" applyBorder="1" applyAlignment="1">
      <alignment horizontal="left" vertical="center"/>
    </xf>
    <xf numFmtId="43" fontId="11" fillId="4" borderId="2" xfId="9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/>
    </xf>
    <xf numFmtId="176" fontId="4" fillId="0" borderId="2" xfId="0" applyNumberFormat="1" applyFont="1" applyFill="1" applyBorder="1" applyAlignment="1">
      <alignment horizontal="left"/>
    </xf>
    <xf numFmtId="176" fontId="4" fillId="5" borderId="2" xfId="0" applyNumberFormat="1" applyFont="1" applyFill="1" applyBorder="1" applyAlignment="1">
      <alignment horizontal="left"/>
    </xf>
    <xf numFmtId="176" fontId="4" fillId="6" borderId="2" xfId="0" applyNumberFormat="1" applyFont="1" applyFill="1" applyBorder="1" applyAlignment="1">
      <alignment horizontal="left"/>
    </xf>
    <xf numFmtId="176" fontId="4" fillId="0" borderId="2" xfId="0" applyNumberFormat="1" applyFont="1" applyFill="1" applyBorder="1" applyAlignment="1">
      <alignment horizontal="left"/>
    </xf>
    <xf numFmtId="176" fontId="11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 quotePrefix="1">
      <alignment horizontal="left"/>
    </xf>
    <xf numFmtId="0" fontId="12" fillId="0" borderId="2" xfId="0" applyFont="1" applyFill="1" applyBorder="1" applyAlignment="1" quotePrefix="1">
      <alignment horizontal="left"/>
    </xf>
    <xf numFmtId="0" fontId="4" fillId="0" borderId="2" xfId="0" applyFont="1" applyFill="1" applyBorder="1" applyAlignment="1" quotePrefix="1">
      <alignment horizontal="left"/>
    </xf>
    <xf numFmtId="0" fontId="12" fillId="0" borderId="2" xfId="0" applyFont="1" applyFill="1" applyBorder="1" applyAlignment="1" quotePrefix="1">
      <alignment horizontal="left"/>
    </xf>
    <xf numFmtId="0" fontId="12" fillId="5" borderId="2" xfId="0" applyFont="1" applyFill="1" applyBorder="1" applyAlignment="1" quotePrefix="1">
      <alignment horizontal="left"/>
    </xf>
    <xf numFmtId="0" fontId="12" fillId="6" borderId="2" xfId="0" applyFont="1" applyFill="1" applyBorder="1" applyAlignment="1" quotePrefix="1">
      <alignment horizontal="left"/>
    </xf>
    <xf numFmtId="0" fontId="4" fillId="6" borderId="2" xfId="0" applyFont="1" applyFill="1" applyBorder="1" applyAlignment="1" quotePrefix="1">
      <alignment horizontal="left"/>
    </xf>
    <xf numFmtId="0" fontId="4" fillId="0" borderId="2" xfId="0" applyFont="1" applyFill="1" applyBorder="1" applyAlignment="1" quotePrefix="1">
      <alignment horizontal="left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left"/>
    </xf>
    <xf numFmtId="49" fontId="7" fillId="0" borderId="2" xfId="66" applyNumberFormat="1" applyFont="1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left" vertical="center"/>
    </xf>
    <xf numFmtId="0" fontId="9" fillId="0" borderId="2" xfId="0" applyFont="1" applyFill="1" applyBorder="1" applyAlignment="1" quotePrefix="1">
      <alignment horizontal="left"/>
    </xf>
  </cellXfs>
  <cellStyles count="84">
    <cellStyle name="常规" xfId="0" builtinId="0"/>
    <cellStyle name="_北京市社会保险费补缴明细表（表四）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?鹎%U龡&amp;H?_x0008_e_x0005_9_x0006__x0007__x0001__x0001_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2 5" xfId="22"/>
    <cellStyle name="解释性文本" xfId="23" builtinId="53"/>
    <cellStyle name="标题 1" xfId="24" builtinId="16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?鹎%U龡&amp;H?_x0008_e_x0005_9_x0006__x0007__x0001__x0001_ 2 2" xfId="57"/>
    <cellStyle name="强调文字颜色 6" xfId="58" builtinId="49"/>
    <cellStyle name="常规 2 3" xfId="59"/>
    <cellStyle name="40% - 强调文字颜色 6" xfId="60" builtinId="51"/>
    <cellStyle name="60% - 强调文字颜色 6" xfId="61" builtinId="52"/>
    <cellStyle name="?鹎%U龡&amp;H?_x0008_e_x0005_9_x0006__x0007__x0001__x0001_ 2" xfId="62"/>
    <cellStyle name="?鹎%U龡&amp;H?_x0008_e_x0005_9_x0006__x0007__x0001__x0001_ 3" xfId="63"/>
    <cellStyle name="0,0_x000d__x000a_NA_x000d__x000a_ 2" xfId="64"/>
    <cellStyle name="常规 2" xfId="65"/>
    <cellStyle name="常规 2 4" xfId="66"/>
    <cellStyle name="常规 3" xfId="67"/>
    <cellStyle name="常规 4" xfId="68"/>
    <cellStyle name="常规 4 2" xfId="69"/>
    <cellStyle name="常规 4 3" xfId="70"/>
    <cellStyle name="常规 5" xfId="71"/>
    <cellStyle name="常规 5 3" xfId="72"/>
    <cellStyle name="常规 5 4" xfId="73"/>
    <cellStyle name="常规 6 2" xfId="74"/>
    <cellStyle name="常规 6 2 2" xfId="75"/>
    <cellStyle name="常规 6 3" xfId="76"/>
    <cellStyle name="常规 6 3 2" xfId="77"/>
    <cellStyle name="常规 6 4" xfId="78"/>
    <cellStyle name="常规 7" xfId="79"/>
    <cellStyle name="常规 8" xfId="80"/>
    <cellStyle name="千位分隔 2" xfId="81"/>
    <cellStyle name="样式 1" xfId="82"/>
    <cellStyle name="样式 1 2" xfId="83"/>
  </cellStyles>
  <tableStyles count="0" defaultTableStyle="TableStyleMedium9" defaultPivotStyle="PivotStyleLight16"/>
  <colors>
    <mruColors>
      <color rgb="00FFFF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3-&#31038;&#20445;\202106&#31038;&#20445;&#32564;&#36153;&#22522;&#25968;&#35843;&#25972;\20210628110106017598%20(&#19977;&#27719;&#33021;&#2961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镇职工人员"/>
    </sheetNames>
    <sheetDataSet>
      <sheetData sheetId="0" refreshError="1">
        <row r="2">
          <cell r="B2" t="str">
            <v>董成龙</v>
          </cell>
          <cell r="C2">
            <v>3600</v>
          </cell>
        </row>
        <row r="3">
          <cell r="B3" t="str">
            <v>李君</v>
          </cell>
          <cell r="C3">
            <v>5500</v>
          </cell>
        </row>
        <row r="4">
          <cell r="B4" t="str">
            <v>肖丽琴</v>
          </cell>
          <cell r="C4">
            <v>3500</v>
          </cell>
        </row>
        <row r="5">
          <cell r="B5" t="str">
            <v>王叶</v>
          </cell>
          <cell r="C5">
            <v>3600</v>
          </cell>
        </row>
        <row r="6">
          <cell r="B6" t="str">
            <v>刘靳</v>
          </cell>
          <cell r="C6">
            <v>3600</v>
          </cell>
        </row>
        <row r="7">
          <cell r="B7" t="str">
            <v>赵坤宇</v>
          </cell>
          <cell r="C7">
            <v>3600</v>
          </cell>
        </row>
        <row r="8">
          <cell r="B8" t="str">
            <v>王梦飞</v>
          </cell>
          <cell r="C8">
            <v>3500</v>
          </cell>
        </row>
        <row r="9">
          <cell r="B9" t="str">
            <v>夏振海</v>
          </cell>
          <cell r="C9">
            <v>2200</v>
          </cell>
        </row>
        <row r="10">
          <cell r="B10" t="str">
            <v>栗建龙</v>
          </cell>
          <cell r="C10">
            <v>3500</v>
          </cell>
        </row>
        <row r="11">
          <cell r="B11" t="str">
            <v>李伟朋</v>
          </cell>
          <cell r="C11">
            <v>3500</v>
          </cell>
        </row>
        <row r="12">
          <cell r="B12" t="str">
            <v>万树壮</v>
          </cell>
          <cell r="C12">
            <v>4000</v>
          </cell>
        </row>
        <row r="13">
          <cell r="B13" t="str">
            <v>郭佩港</v>
          </cell>
          <cell r="C13">
            <v>3500</v>
          </cell>
        </row>
        <row r="14">
          <cell r="B14" t="str">
            <v>徐禹烨</v>
          </cell>
          <cell r="C14">
            <v>3600</v>
          </cell>
        </row>
        <row r="15">
          <cell r="B15" t="str">
            <v>张旭</v>
          </cell>
          <cell r="C15">
            <v>3500</v>
          </cell>
        </row>
        <row r="16">
          <cell r="B16" t="str">
            <v>周飞燕</v>
          </cell>
          <cell r="C16">
            <v>3800</v>
          </cell>
        </row>
        <row r="17">
          <cell r="B17" t="str">
            <v>赵沙</v>
          </cell>
          <cell r="C17">
            <v>3600</v>
          </cell>
        </row>
        <row r="18">
          <cell r="B18" t="str">
            <v>赵兴华</v>
          </cell>
          <cell r="C18">
            <v>3300</v>
          </cell>
        </row>
        <row r="19">
          <cell r="B19" t="str">
            <v>李军</v>
          </cell>
          <cell r="C19">
            <v>5400</v>
          </cell>
        </row>
        <row r="20">
          <cell r="B20" t="str">
            <v>徐利斌</v>
          </cell>
          <cell r="C20">
            <v>9000</v>
          </cell>
        </row>
        <row r="21">
          <cell r="B21" t="str">
            <v>沈铮</v>
          </cell>
          <cell r="C21">
            <v>3300</v>
          </cell>
        </row>
        <row r="22">
          <cell r="B22" t="str">
            <v>崔志猛</v>
          </cell>
          <cell r="C22">
            <v>3500</v>
          </cell>
        </row>
        <row r="23">
          <cell r="B23" t="str">
            <v>刘柯</v>
          </cell>
          <cell r="C23">
            <v>6000</v>
          </cell>
        </row>
        <row r="24">
          <cell r="B24" t="str">
            <v>张立昆</v>
          </cell>
          <cell r="C24">
            <v>3500</v>
          </cell>
        </row>
        <row r="25">
          <cell r="B25" t="str">
            <v>孙方涛</v>
          </cell>
          <cell r="C25">
            <v>10000</v>
          </cell>
        </row>
        <row r="26">
          <cell r="B26" t="str">
            <v>邱维保</v>
          </cell>
          <cell r="C26">
            <v>3300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85" zoomScaleNormal="85" topLeftCell="A7" workbookViewId="0">
      <selection activeCell="T17" sqref="T17"/>
    </sheetView>
  </sheetViews>
  <sheetFormatPr defaultColWidth="8.66666666666667" defaultRowHeight="15"/>
  <cols>
    <col min="1" max="1" width="3.58333333333333" style="40" customWidth="1"/>
    <col min="2" max="2" width="7.41666666666667" style="40" customWidth="1"/>
    <col min="3" max="3" width="5.91666666666667" style="40" customWidth="1"/>
    <col min="4" max="4" width="19" style="40" customWidth="1"/>
    <col min="5" max="5" width="12.1666666666667" style="40" customWidth="1"/>
    <col min="6" max="6" width="6.58333333333333" style="40" customWidth="1"/>
    <col min="7" max="7" width="11.0833333333333" style="40" customWidth="1"/>
    <col min="8" max="8" width="6.58333333333333" style="40" customWidth="1"/>
    <col min="9" max="9" width="11.0833333333333" style="40" customWidth="1"/>
    <col min="10" max="10" width="7.66666666666667" style="40" customWidth="1"/>
    <col min="11" max="12" width="6.58333333333333" style="40" customWidth="1"/>
    <col min="13" max="13" width="11.5" style="40" customWidth="1"/>
    <col min="14" max="14" width="10" style="40" customWidth="1"/>
    <col min="15" max="17" width="7" style="40" customWidth="1"/>
    <col min="18" max="18" width="10" style="40" customWidth="1"/>
    <col min="19" max="19" width="8.66666666666667" style="40" customWidth="1"/>
    <col min="20" max="16384" width="8.66666666666667" style="40"/>
  </cols>
  <sheetData>
    <row r="1" spans="1:19">
      <c r="A1" s="43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69" t="s">
        <v>12</v>
      </c>
      <c r="N1" s="69" t="s">
        <v>13</v>
      </c>
      <c r="O1" s="69" t="s">
        <v>14</v>
      </c>
      <c r="P1" s="69" t="s">
        <v>15</v>
      </c>
      <c r="Q1" s="69" t="s">
        <v>16</v>
      </c>
      <c r="R1" s="69" t="s">
        <v>17</v>
      </c>
      <c r="S1" s="69" t="s">
        <v>18</v>
      </c>
    </row>
    <row r="2" spans="1:19">
      <c r="A2" s="7">
        <v>1</v>
      </c>
      <c r="B2" s="7" t="s">
        <v>19</v>
      </c>
      <c r="C2" s="7" t="s">
        <v>20</v>
      </c>
      <c r="D2" s="76" t="s">
        <v>21</v>
      </c>
      <c r="E2" s="45" t="s">
        <v>22</v>
      </c>
      <c r="F2" s="46">
        <f>VLOOKUP(C2,[1]城镇职工人员!$B$2:$C$26,2,0)</f>
        <v>9000</v>
      </c>
      <c r="G2" s="46">
        <f>IF(F2&lt;=5360,5360,IF(F2&lt;=28221,F2,28221))</f>
        <v>9000</v>
      </c>
      <c r="H2" s="46">
        <f>IF(F2&lt;=5360,5360,IF(F2&lt;=28221,F2,28221))</f>
        <v>9000</v>
      </c>
      <c r="I2" s="46">
        <f>IF(F2&lt;=5360,5360,IF(F2&lt;=28221,F2,28221))</f>
        <v>9000</v>
      </c>
      <c r="J2" s="70">
        <f>ROUND(G2*0.16,2)</f>
        <v>1440</v>
      </c>
      <c r="K2" s="70">
        <f>ROUND(G2*0.005,2)</f>
        <v>45</v>
      </c>
      <c r="L2" s="70">
        <f>ROUND(H2*0.004,2)</f>
        <v>36</v>
      </c>
      <c r="M2" s="70">
        <f>ROUND(I2*0.098,2)</f>
        <v>882</v>
      </c>
      <c r="N2" s="70">
        <f>SUM(J2:M2)</f>
        <v>2403</v>
      </c>
      <c r="O2" s="70">
        <f>ROUND(G2*0.08,2)</f>
        <v>720</v>
      </c>
      <c r="P2" s="70">
        <f>ROUND(I2*0.02+3,2)</f>
        <v>183</v>
      </c>
      <c r="Q2" s="70">
        <f>G2*0.005</f>
        <v>45</v>
      </c>
      <c r="R2" s="70">
        <f>SUM(O2:Q2)</f>
        <v>948</v>
      </c>
      <c r="S2" s="70">
        <f>R2+N2</f>
        <v>3351</v>
      </c>
    </row>
    <row r="3" spans="1:19">
      <c r="A3" s="7">
        <v>2</v>
      </c>
      <c r="B3" s="7" t="s">
        <v>19</v>
      </c>
      <c r="C3" s="7" t="s">
        <v>23</v>
      </c>
      <c r="D3" s="76" t="s">
        <v>24</v>
      </c>
      <c r="E3" s="45" t="s">
        <v>22</v>
      </c>
      <c r="F3" s="46">
        <f>VLOOKUP(C3,[1]城镇职工人员!$B$2:$C$26,2,0)</f>
        <v>6000</v>
      </c>
      <c r="G3" s="46">
        <f>IF(F3&lt;=5360,5360,IF(F3&lt;=28221,F3,28221))</f>
        <v>6000</v>
      </c>
      <c r="H3" s="46">
        <f>IF(F3&lt;=5360,5360,IF(F3&lt;=28221,F3,28221))</f>
        <v>6000</v>
      </c>
      <c r="I3" s="46">
        <f>IF(F3&lt;=5360,5360,IF(F3&lt;=28221,F3,28221))</f>
        <v>6000</v>
      </c>
      <c r="J3" s="70">
        <f>ROUND(G3*0.16,2)</f>
        <v>960</v>
      </c>
      <c r="K3" s="70">
        <f>ROUND(G3*0.005,2)</f>
        <v>30</v>
      </c>
      <c r="L3" s="70">
        <f>ROUND(H3*0.004,2)</f>
        <v>24</v>
      </c>
      <c r="M3" s="70">
        <f>ROUND(I3*0.098,2)</f>
        <v>588</v>
      </c>
      <c r="N3" s="70">
        <f>SUM(J3:M3)</f>
        <v>1602</v>
      </c>
      <c r="O3" s="70">
        <f>ROUND(G3*0.08,2)</f>
        <v>480</v>
      </c>
      <c r="P3" s="70">
        <f>ROUND(I3*0.02+3,2)</f>
        <v>123</v>
      </c>
      <c r="Q3" s="70">
        <f>G3*0.005</f>
        <v>30</v>
      </c>
      <c r="R3" s="70">
        <f>SUM(O3:Q3)</f>
        <v>633</v>
      </c>
      <c r="S3" s="70">
        <f>R3+N3</f>
        <v>2235</v>
      </c>
    </row>
    <row r="4" spans="1:19">
      <c r="A4" s="7">
        <v>3</v>
      </c>
      <c r="B4" s="7" t="s">
        <v>19</v>
      </c>
      <c r="C4" s="7" t="s">
        <v>25</v>
      </c>
      <c r="D4" s="76" t="s">
        <v>26</v>
      </c>
      <c r="E4" s="45" t="s">
        <v>27</v>
      </c>
      <c r="F4" s="46">
        <f>VLOOKUP(C4,[1]城镇职工人员!$B$2:$C$26,2,0)</f>
        <v>10000</v>
      </c>
      <c r="G4" s="46">
        <f>IF(F4&lt;=5360,5360,IF(F4&lt;=28221,F4,28221))</f>
        <v>10000</v>
      </c>
      <c r="H4" s="46">
        <f>IF(F4&lt;=5360,5360,IF(F4&lt;=28221,F4,28221))</f>
        <v>10000</v>
      </c>
      <c r="I4" s="46">
        <f>IF(F4&lt;=5360,5360,IF(F4&lt;=28221,F4,28221))</f>
        <v>10000</v>
      </c>
      <c r="J4" s="70">
        <f>ROUND(G4*0.16,2)</f>
        <v>1600</v>
      </c>
      <c r="K4" s="70">
        <f>ROUND(G4*0.005,2)</f>
        <v>50</v>
      </c>
      <c r="L4" s="70">
        <f>ROUND(H4*0.004,2)</f>
        <v>40</v>
      </c>
      <c r="M4" s="70">
        <f>ROUND(I4*0.098,2)</f>
        <v>980</v>
      </c>
      <c r="N4" s="70">
        <f>SUM(J4:M4)</f>
        <v>2670</v>
      </c>
      <c r="O4" s="70">
        <f>ROUND(G4*0.08,2)</f>
        <v>800</v>
      </c>
      <c r="P4" s="70">
        <f>ROUND(I4*0.02+3,2)</f>
        <v>203</v>
      </c>
      <c r="Q4" s="70">
        <f>G4*0.005</f>
        <v>50</v>
      </c>
      <c r="R4" s="70">
        <f>SUM(O4:Q4)</f>
        <v>1053</v>
      </c>
      <c r="S4" s="70">
        <f>R4+N4</f>
        <v>3723</v>
      </c>
    </row>
    <row r="5" spans="1:19">
      <c r="A5" s="7">
        <v>4</v>
      </c>
      <c r="B5" s="7" t="s">
        <v>19</v>
      </c>
      <c r="C5" s="7" t="s">
        <v>28</v>
      </c>
      <c r="D5" s="76" t="s">
        <v>29</v>
      </c>
      <c r="E5" s="45" t="s">
        <v>22</v>
      </c>
      <c r="F5" s="46">
        <f>VLOOKUP(C5,[1]城镇职工人员!$B$2:$C$26,2,0)</f>
        <v>5500</v>
      </c>
      <c r="G5" s="46">
        <f>IF(F5&lt;=5360,5360,IF(F5&lt;=28221,F5,28221))</f>
        <v>5500</v>
      </c>
      <c r="H5" s="46">
        <f>IF(F5&lt;=5360,5360,IF(F5&lt;=28221,F5,28221))</f>
        <v>5500</v>
      </c>
      <c r="I5" s="46">
        <f>IF(F5&lt;=5360,5360,IF(F5&lt;=28221,F5,28221))</f>
        <v>5500</v>
      </c>
      <c r="J5" s="70">
        <f>ROUND(G5*0.16,2)</f>
        <v>880</v>
      </c>
      <c r="K5" s="70">
        <f>ROUND(G5*0.005,2)</f>
        <v>27.5</v>
      </c>
      <c r="L5" s="70">
        <f>ROUND(H5*0.004,2)</f>
        <v>22</v>
      </c>
      <c r="M5" s="70">
        <f>ROUND(I5*0.098,2)</f>
        <v>539</v>
      </c>
      <c r="N5" s="70">
        <f>SUM(J5:M5)</f>
        <v>1468.5</v>
      </c>
      <c r="O5" s="70">
        <f>ROUND(G5*0.08,2)</f>
        <v>440</v>
      </c>
      <c r="P5" s="70">
        <f>ROUND(I5*0.02+3,2)</f>
        <v>113</v>
      </c>
      <c r="Q5" s="70">
        <f>G5*0.005</f>
        <v>27.5</v>
      </c>
      <c r="R5" s="70">
        <f>SUM(O5:Q5)</f>
        <v>580.5</v>
      </c>
      <c r="S5" s="70">
        <f>R5+N5</f>
        <v>2049</v>
      </c>
    </row>
    <row r="6" spans="1:19">
      <c r="A6" s="7">
        <v>5</v>
      </c>
      <c r="B6" s="7" t="s">
        <v>19</v>
      </c>
      <c r="C6" s="7" t="s">
        <v>30</v>
      </c>
      <c r="D6" s="76" t="s">
        <v>31</v>
      </c>
      <c r="E6" s="45" t="s">
        <v>27</v>
      </c>
      <c r="F6" s="46">
        <f>VLOOKUP(C6,[1]城镇职工人员!$B$2:$C$26,2,0)</f>
        <v>3500</v>
      </c>
      <c r="G6" s="46">
        <f>IF(F6&lt;=5360,5360,IF(F6&lt;=28221,F6,28221))</f>
        <v>5360</v>
      </c>
      <c r="H6" s="46">
        <f>IF(F6&lt;=5360,5360,IF(F6&lt;=28221,F6,28221))</f>
        <v>5360</v>
      </c>
      <c r="I6" s="46">
        <f>IF(F6&lt;=5360,5360,IF(F6&lt;=28221,F6,28221))</f>
        <v>5360</v>
      </c>
      <c r="J6" s="70">
        <f>ROUND(G6*0.16,2)</f>
        <v>857.6</v>
      </c>
      <c r="K6" s="70">
        <f>ROUND(G6*0.005,2)</f>
        <v>26.8</v>
      </c>
      <c r="L6" s="70">
        <f>ROUND(H6*0.004,2)</f>
        <v>21.44</v>
      </c>
      <c r="M6" s="70">
        <f>ROUND(I6*0.098,2)</f>
        <v>525.28</v>
      </c>
      <c r="N6" s="70">
        <f>SUM(J6:M6)</f>
        <v>1431.12</v>
      </c>
      <c r="O6" s="70">
        <f>ROUND(G6*0.08,2)</f>
        <v>428.8</v>
      </c>
      <c r="P6" s="70">
        <f>ROUND(I6*0.02+3,2)</f>
        <v>110.2</v>
      </c>
      <c r="Q6" s="70">
        <f>G6*0.005</f>
        <v>26.8</v>
      </c>
      <c r="R6" s="70">
        <f>SUM(O6:Q6)</f>
        <v>565.8</v>
      </c>
      <c r="S6" s="70">
        <f>R6+N6</f>
        <v>1996.92</v>
      </c>
    </row>
    <row r="7" spans="1:19">
      <c r="A7" s="7">
        <v>6</v>
      </c>
      <c r="B7" s="7" t="s">
        <v>19</v>
      </c>
      <c r="C7" s="7" t="s">
        <v>32</v>
      </c>
      <c r="D7" s="76" t="s">
        <v>33</v>
      </c>
      <c r="E7" s="45" t="s">
        <v>27</v>
      </c>
      <c r="F7" s="46">
        <f>VLOOKUP(C7,[1]城镇职工人员!$B$2:$C$26,2,0)</f>
        <v>5400</v>
      </c>
      <c r="G7" s="46">
        <f>IF(F7&lt;=5360,5360,IF(F7&lt;=28221,F7,28221))</f>
        <v>5400</v>
      </c>
      <c r="H7" s="46">
        <f>IF(F7&lt;=5360,5360,IF(F7&lt;=28221,F7,28221))</f>
        <v>5400</v>
      </c>
      <c r="I7" s="46">
        <f>IF(F7&lt;=5360,5360,IF(F7&lt;=28221,F7,28221))</f>
        <v>5400</v>
      </c>
      <c r="J7" s="70">
        <f>ROUND(G7*0.16,2)</f>
        <v>864</v>
      </c>
      <c r="K7" s="70">
        <f>ROUND(G7*0.005,2)</f>
        <v>27</v>
      </c>
      <c r="L7" s="70">
        <f>ROUND(H7*0.004,2)</f>
        <v>21.6</v>
      </c>
      <c r="M7" s="70">
        <f>ROUND(I7*0.098,2)</f>
        <v>529.2</v>
      </c>
      <c r="N7" s="70">
        <f>SUM(J7:M7)</f>
        <v>1441.8</v>
      </c>
      <c r="O7" s="70">
        <f>ROUND(G7*0.08,2)</f>
        <v>432</v>
      </c>
      <c r="P7" s="70">
        <f>ROUND(I7*0.02+3,2)</f>
        <v>111</v>
      </c>
      <c r="Q7" s="70">
        <f>G7*0.005</f>
        <v>27</v>
      </c>
      <c r="R7" s="70">
        <f>SUM(O7:Q7)</f>
        <v>570</v>
      </c>
      <c r="S7" s="70">
        <f>R7+N7</f>
        <v>2011.8</v>
      </c>
    </row>
    <row r="8" spans="1:19">
      <c r="A8" s="7">
        <v>7</v>
      </c>
      <c r="B8" s="7" t="s">
        <v>19</v>
      </c>
      <c r="C8" s="7" t="s">
        <v>34</v>
      </c>
      <c r="D8" s="45" t="s">
        <v>35</v>
      </c>
      <c r="E8" s="46" t="s">
        <v>27</v>
      </c>
      <c r="F8" s="46">
        <v>3500</v>
      </c>
      <c r="G8" s="46">
        <f>IF(F8&lt;=5360,5360,IF(F8&lt;=28221,F8,28221))</f>
        <v>5360</v>
      </c>
      <c r="H8" s="46">
        <f t="shared" ref="H8:H30" si="0">IF(F8&lt;=5360,5360,IF(F8&lt;=28221,F8,28221))</f>
        <v>5360</v>
      </c>
      <c r="I8" s="46">
        <f t="shared" ref="I8:I30" si="1">IF(F8&lt;=5360,5360,IF(F8&lt;=28221,F8,28221))</f>
        <v>5360</v>
      </c>
      <c r="J8" s="70">
        <f t="shared" ref="J8:J30" si="2">ROUND(G8*0.16,2)</f>
        <v>857.6</v>
      </c>
      <c r="K8" s="70">
        <f t="shared" ref="K8:K30" si="3">ROUND(G8*0.005,2)</f>
        <v>26.8</v>
      </c>
      <c r="L8" s="70">
        <f t="shared" ref="L8:L30" si="4">ROUND(H8*0.004,2)</f>
        <v>21.44</v>
      </c>
      <c r="M8" s="70">
        <f t="shared" ref="M8:M30" si="5">ROUND(I8*0.098,2)</f>
        <v>525.28</v>
      </c>
      <c r="N8" s="70">
        <f t="shared" ref="N8:N30" si="6">SUM(J8:M8)</f>
        <v>1431.12</v>
      </c>
      <c r="O8" s="70">
        <f t="shared" ref="O8:O30" si="7">ROUND(G8*0.08,2)</f>
        <v>428.8</v>
      </c>
      <c r="P8" s="70">
        <f t="shared" ref="P8:P30" si="8">ROUND(I8*0.02+3,2)</f>
        <v>110.2</v>
      </c>
      <c r="Q8" s="70">
        <f t="shared" ref="Q8:Q30" si="9">G8*0.005</f>
        <v>26.8</v>
      </c>
      <c r="R8" s="70">
        <f t="shared" ref="R8:R30" si="10">SUM(O8:Q8)</f>
        <v>565.8</v>
      </c>
      <c r="S8" s="70">
        <f t="shared" ref="S8:S30" si="11">R8+N8</f>
        <v>1996.92</v>
      </c>
    </row>
    <row r="9" spans="1:19">
      <c r="A9" s="7">
        <v>8</v>
      </c>
      <c r="B9" s="7" t="s">
        <v>19</v>
      </c>
      <c r="C9" s="7" t="s">
        <v>36</v>
      </c>
      <c r="D9" s="45" t="s">
        <v>37</v>
      </c>
      <c r="E9" s="46" t="s">
        <v>27</v>
      </c>
      <c r="F9" s="46">
        <v>3500</v>
      </c>
      <c r="G9" s="46">
        <f t="shared" ref="G9:G24" si="12">IF(F9&lt;=5360,5360,IF(F9&lt;=28221,F9,28221))</f>
        <v>5360</v>
      </c>
      <c r="H9" s="46">
        <f t="shared" si="0"/>
        <v>5360</v>
      </c>
      <c r="I9" s="46">
        <f t="shared" si="1"/>
        <v>5360</v>
      </c>
      <c r="J9" s="70">
        <f t="shared" si="2"/>
        <v>857.6</v>
      </c>
      <c r="K9" s="70">
        <f t="shared" si="3"/>
        <v>26.8</v>
      </c>
      <c r="L9" s="70">
        <f t="shared" si="4"/>
        <v>21.44</v>
      </c>
      <c r="M9" s="70">
        <f t="shared" si="5"/>
        <v>525.28</v>
      </c>
      <c r="N9" s="70">
        <f t="shared" si="6"/>
        <v>1431.12</v>
      </c>
      <c r="O9" s="70">
        <f t="shared" si="7"/>
        <v>428.8</v>
      </c>
      <c r="P9" s="70">
        <f t="shared" si="8"/>
        <v>110.2</v>
      </c>
      <c r="Q9" s="70">
        <f t="shared" si="9"/>
        <v>26.8</v>
      </c>
      <c r="R9" s="70">
        <f t="shared" si="10"/>
        <v>565.8</v>
      </c>
      <c r="S9" s="70">
        <f t="shared" si="11"/>
        <v>1996.92</v>
      </c>
    </row>
    <row r="10" spans="1:19">
      <c r="A10" s="7">
        <v>9</v>
      </c>
      <c r="B10" s="7" t="s">
        <v>19</v>
      </c>
      <c r="C10" s="7" t="s">
        <v>38</v>
      </c>
      <c r="D10" s="76" t="s">
        <v>39</v>
      </c>
      <c r="E10" s="45" t="s">
        <v>27</v>
      </c>
      <c r="F10" s="46">
        <f>VLOOKUP(C10,[1]城镇职工人员!$B$2:$C$26,2,0)</f>
        <v>3500</v>
      </c>
      <c r="G10" s="46">
        <f t="shared" si="12"/>
        <v>5360</v>
      </c>
      <c r="H10" s="46">
        <f t="shared" si="0"/>
        <v>5360</v>
      </c>
      <c r="I10" s="46">
        <f t="shared" si="1"/>
        <v>5360</v>
      </c>
      <c r="J10" s="70">
        <f t="shared" si="2"/>
        <v>857.6</v>
      </c>
      <c r="K10" s="70">
        <f t="shared" si="3"/>
        <v>26.8</v>
      </c>
      <c r="L10" s="70">
        <f t="shared" si="4"/>
        <v>21.44</v>
      </c>
      <c r="M10" s="70">
        <f t="shared" si="5"/>
        <v>525.28</v>
      </c>
      <c r="N10" s="70">
        <f t="shared" si="6"/>
        <v>1431.12</v>
      </c>
      <c r="O10" s="70">
        <f t="shared" si="7"/>
        <v>428.8</v>
      </c>
      <c r="P10" s="70">
        <f t="shared" si="8"/>
        <v>110.2</v>
      </c>
      <c r="Q10" s="70">
        <f t="shared" si="9"/>
        <v>26.8</v>
      </c>
      <c r="R10" s="70">
        <f t="shared" si="10"/>
        <v>565.8</v>
      </c>
      <c r="S10" s="70">
        <f t="shared" si="11"/>
        <v>1996.92</v>
      </c>
    </row>
    <row r="11" spans="1:19">
      <c r="A11" s="7">
        <v>10</v>
      </c>
      <c r="B11" s="7" t="s">
        <v>19</v>
      </c>
      <c r="C11" s="7" t="s">
        <v>40</v>
      </c>
      <c r="D11" s="76" t="s">
        <v>41</v>
      </c>
      <c r="E11" s="45" t="s">
        <v>27</v>
      </c>
      <c r="F11" s="46">
        <f>VLOOKUP(C11,[1]城镇职工人员!$B$2:$C$26,2,0)</f>
        <v>3500</v>
      </c>
      <c r="G11" s="46">
        <f t="shared" si="12"/>
        <v>5360</v>
      </c>
      <c r="H11" s="46">
        <f t="shared" si="0"/>
        <v>5360</v>
      </c>
      <c r="I11" s="46">
        <f t="shared" si="1"/>
        <v>5360</v>
      </c>
      <c r="J11" s="70">
        <f t="shared" si="2"/>
        <v>857.6</v>
      </c>
      <c r="K11" s="70">
        <f t="shared" si="3"/>
        <v>26.8</v>
      </c>
      <c r="L11" s="70">
        <f t="shared" si="4"/>
        <v>21.44</v>
      </c>
      <c r="M11" s="70">
        <f t="shared" si="5"/>
        <v>525.28</v>
      </c>
      <c r="N11" s="70">
        <f t="shared" si="6"/>
        <v>1431.12</v>
      </c>
      <c r="O11" s="70">
        <f t="shared" si="7"/>
        <v>428.8</v>
      </c>
      <c r="P11" s="70">
        <f t="shared" si="8"/>
        <v>110.2</v>
      </c>
      <c r="Q11" s="70">
        <f t="shared" si="9"/>
        <v>26.8</v>
      </c>
      <c r="R11" s="70">
        <f t="shared" si="10"/>
        <v>565.8</v>
      </c>
      <c r="S11" s="70">
        <f t="shared" si="11"/>
        <v>1996.92</v>
      </c>
    </row>
    <row r="12" spans="1:19">
      <c r="A12" s="7">
        <v>11</v>
      </c>
      <c r="B12" s="7" t="s">
        <v>19</v>
      </c>
      <c r="C12" s="7" t="s">
        <v>42</v>
      </c>
      <c r="D12" s="45" t="s">
        <v>43</v>
      </c>
      <c r="E12" s="45" t="s">
        <v>27</v>
      </c>
      <c r="F12" s="46">
        <f>VLOOKUP(C12,[1]城镇职工人员!$B$2:$C$26,2,0)</f>
        <v>3500</v>
      </c>
      <c r="G12" s="46">
        <f t="shared" si="12"/>
        <v>5360</v>
      </c>
      <c r="H12" s="46">
        <f t="shared" si="0"/>
        <v>5360</v>
      </c>
      <c r="I12" s="46">
        <f t="shared" si="1"/>
        <v>5360</v>
      </c>
      <c r="J12" s="70">
        <f t="shared" si="2"/>
        <v>857.6</v>
      </c>
      <c r="K12" s="70">
        <f t="shared" si="3"/>
        <v>26.8</v>
      </c>
      <c r="L12" s="70">
        <f t="shared" si="4"/>
        <v>21.44</v>
      </c>
      <c r="M12" s="70">
        <f t="shared" si="5"/>
        <v>525.28</v>
      </c>
      <c r="N12" s="70">
        <f t="shared" si="6"/>
        <v>1431.12</v>
      </c>
      <c r="O12" s="70">
        <f t="shared" si="7"/>
        <v>428.8</v>
      </c>
      <c r="P12" s="70">
        <f t="shared" si="8"/>
        <v>110.2</v>
      </c>
      <c r="Q12" s="70">
        <f t="shared" si="9"/>
        <v>26.8</v>
      </c>
      <c r="R12" s="70">
        <f t="shared" si="10"/>
        <v>565.8</v>
      </c>
      <c r="S12" s="70">
        <f t="shared" si="11"/>
        <v>1996.92</v>
      </c>
    </row>
    <row r="13" spans="1:19">
      <c r="A13" s="7">
        <v>12</v>
      </c>
      <c r="B13" s="7" t="s">
        <v>19</v>
      </c>
      <c r="C13" s="7" t="s">
        <v>44</v>
      </c>
      <c r="D13" s="76" t="s">
        <v>45</v>
      </c>
      <c r="E13" s="45" t="s">
        <v>27</v>
      </c>
      <c r="F13" s="46">
        <v>3500</v>
      </c>
      <c r="G13" s="46">
        <f t="shared" si="12"/>
        <v>5360</v>
      </c>
      <c r="H13" s="46">
        <f t="shared" si="0"/>
        <v>5360</v>
      </c>
      <c r="I13" s="46">
        <f t="shared" si="1"/>
        <v>5360</v>
      </c>
      <c r="J13" s="70">
        <f t="shared" si="2"/>
        <v>857.6</v>
      </c>
      <c r="K13" s="70">
        <f t="shared" si="3"/>
        <v>26.8</v>
      </c>
      <c r="L13" s="70">
        <f t="shared" si="4"/>
        <v>21.44</v>
      </c>
      <c r="M13" s="70">
        <f t="shared" si="5"/>
        <v>525.28</v>
      </c>
      <c r="N13" s="70">
        <f t="shared" si="6"/>
        <v>1431.12</v>
      </c>
      <c r="O13" s="70">
        <f t="shared" si="7"/>
        <v>428.8</v>
      </c>
      <c r="P13" s="70">
        <f t="shared" si="8"/>
        <v>110.2</v>
      </c>
      <c r="Q13" s="70">
        <f t="shared" si="9"/>
        <v>26.8</v>
      </c>
      <c r="R13" s="70">
        <f t="shared" si="10"/>
        <v>565.8</v>
      </c>
      <c r="S13" s="70">
        <f t="shared" si="11"/>
        <v>1996.92</v>
      </c>
    </row>
    <row r="14" spans="1:19">
      <c r="A14" s="7">
        <v>13</v>
      </c>
      <c r="B14" s="7" t="s">
        <v>19</v>
      </c>
      <c r="C14" s="7" t="s">
        <v>46</v>
      </c>
      <c r="D14" s="76" t="s">
        <v>47</v>
      </c>
      <c r="E14" s="45" t="s">
        <v>27</v>
      </c>
      <c r="F14" s="46">
        <f>VLOOKUP(C14,[1]城镇职工人员!$B$2:$C$26,2,0)</f>
        <v>3500</v>
      </c>
      <c r="G14" s="46">
        <f t="shared" si="12"/>
        <v>5360</v>
      </c>
      <c r="H14" s="46">
        <f t="shared" si="0"/>
        <v>5360</v>
      </c>
      <c r="I14" s="46">
        <f t="shared" si="1"/>
        <v>5360</v>
      </c>
      <c r="J14" s="70">
        <f t="shared" si="2"/>
        <v>857.6</v>
      </c>
      <c r="K14" s="70">
        <f t="shared" si="3"/>
        <v>26.8</v>
      </c>
      <c r="L14" s="70">
        <f t="shared" si="4"/>
        <v>21.44</v>
      </c>
      <c r="M14" s="70">
        <f t="shared" si="5"/>
        <v>525.28</v>
      </c>
      <c r="N14" s="70">
        <f t="shared" si="6"/>
        <v>1431.12</v>
      </c>
      <c r="O14" s="70">
        <f t="shared" si="7"/>
        <v>428.8</v>
      </c>
      <c r="P14" s="70">
        <f t="shared" si="8"/>
        <v>110.2</v>
      </c>
      <c r="Q14" s="70">
        <f t="shared" si="9"/>
        <v>26.8</v>
      </c>
      <c r="R14" s="70">
        <f t="shared" si="10"/>
        <v>565.8</v>
      </c>
      <c r="S14" s="70">
        <f t="shared" si="11"/>
        <v>1996.92</v>
      </c>
    </row>
    <row r="15" spans="1:19">
      <c r="A15" s="7">
        <v>14</v>
      </c>
      <c r="B15" s="7" t="s">
        <v>19</v>
      </c>
      <c r="C15" s="7" t="s">
        <v>48</v>
      </c>
      <c r="D15" s="45" t="s">
        <v>49</v>
      </c>
      <c r="E15" s="45" t="s">
        <v>27</v>
      </c>
      <c r="F15" s="46">
        <f>VLOOKUP(C15,[1]城镇职工人员!$B$2:$C$26,2,0)</f>
        <v>3500</v>
      </c>
      <c r="G15" s="46">
        <f t="shared" si="12"/>
        <v>5360</v>
      </c>
      <c r="H15" s="46">
        <f t="shared" si="0"/>
        <v>5360</v>
      </c>
      <c r="I15" s="46">
        <f t="shared" si="1"/>
        <v>5360</v>
      </c>
      <c r="J15" s="70">
        <f t="shared" si="2"/>
        <v>857.6</v>
      </c>
      <c r="K15" s="70">
        <f t="shared" si="3"/>
        <v>26.8</v>
      </c>
      <c r="L15" s="70">
        <f t="shared" si="4"/>
        <v>21.44</v>
      </c>
      <c r="M15" s="70">
        <f t="shared" si="5"/>
        <v>525.28</v>
      </c>
      <c r="N15" s="70">
        <f t="shared" si="6"/>
        <v>1431.12</v>
      </c>
      <c r="O15" s="70">
        <f t="shared" si="7"/>
        <v>428.8</v>
      </c>
      <c r="P15" s="70">
        <f t="shared" si="8"/>
        <v>110.2</v>
      </c>
      <c r="Q15" s="70">
        <f t="shared" si="9"/>
        <v>26.8</v>
      </c>
      <c r="R15" s="70">
        <f t="shared" si="10"/>
        <v>565.8</v>
      </c>
      <c r="S15" s="70">
        <f t="shared" si="11"/>
        <v>1996.92</v>
      </c>
    </row>
    <row r="16" spans="1:19">
      <c r="A16" s="7">
        <v>15</v>
      </c>
      <c r="B16" s="7" t="s">
        <v>19</v>
      </c>
      <c r="C16" s="7" t="s">
        <v>50</v>
      </c>
      <c r="D16" s="45" t="s">
        <v>51</v>
      </c>
      <c r="E16" s="45" t="s">
        <v>27</v>
      </c>
      <c r="F16" s="46">
        <f>VLOOKUP(C16,[1]城镇职工人员!$B$2:$C$26,2,0)</f>
        <v>2200</v>
      </c>
      <c r="G16" s="46">
        <f t="shared" si="12"/>
        <v>5360</v>
      </c>
      <c r="H16" s="46">
        <f t="shared" si="0"/>
        <v>5360</v>
      </c>
      <c r="I16" s="46">
        <f t="shared" si="1"/>
        <v>5360</v>
      </c>
      <c r="J16" s="70">
        <f t="shared" si="2"/>
        <v>857.6</v>
      </c>
      <c r="K16" s="70">
        <f t="shared" si="3"/>
        <v>26.8</v>
      </c>
      <c r="L16" s="70">
        <f t="shared" si="4"/>
        <v>21.44</v>
      </c>
      <c r="M16" s="70">
        <f t="shared" si="5"/>
        <v>525.28</v>
      </c>
      <c r="N16" s="70">
        <f t="shared" si="6"/>
        <v>1431.12</v>
      </c>
      <c r="O16" s="70">
        <f t="shared" si="7"/>
        <v>428.8</v>
      </c>
      <c r="P16" s="70">
        <f t="shared" si="8"/>
        <v>110.2</v>
      </c>
      <c r="Q16" s="70">
        <f t="shared" si="9"/>
        <v>26.8</v>
      </c>
      <c r="R16" s="70">
        <f t="shared" si="10"/>
        <v>565.8</v>
      </c>
      <c r="S16" s="70">
        <f t="shared" si="11"/>
        <v>1996.92</v>
      </c>
    </row>
    <row r="17" spans="1:19">
      <c r="A17" s="7">
        <v>16</v>
      </c>
      <c r="B17" s="7" t="s">
        <v>19</v>
      </c>
      <c r="C17" s="7" t="s">
        <v>52</v>
      </c>
      <c r="D17" s="45" t="s">
        <v>53</v>
      </c>
      <c r="E17" s="46" t="s">
        <v>27</v>
      </c>
      <c r="F17" s="46">
        <f>VLOOKUP(C17,[1]城镇职工人员!$B$2:$C$26,2,0)</f>
        <v>4000</v>
      </c>
      <c r="G17" s="46">
        <f t="shared" si="12"/>
        <v>5360</v>
      </c>
      <c r="H17" s="46">
        <f t="shared" si="0"/>
        <v>5360</v>
      </c>
      <c r="I17" s="46">
        <f t="shared" si="1"/>
        <v>5360</v>
      </c>
      <c r="J17" s="70">
        <f t="shared" si="2"/>
        <v>857.6</v>
      </c>
      <c r="K17" s="70">
        <f t="shared" si="3"/>
        <v>26.8</v>
      </c>
      <c r="L17" s="70">
        <f t="shared" si="4"/>
        <v>21.44</v>
      </c>
      <c r="M17" s="70">
        <f t="shared" si="5"/>
        <v>525.28</v>
      </c>
      <c r="N17" s="70">
        <f t="shared" si="6"/>
        <v>1431.12</v>
      </c>
      <c r="O17" s="70">
        <f t="shared" si="7"/>
        <v>428.8</v>
      </c>
      <c r="P17" s="70">
        <f t="shared" si="8"/>
        <v>110.2</v>
      </c>
      <c r="Q17" s="70">
        <f t="shared" si="9"/>
        <v>26.8</v>
      </c>
      <c r="R17" s="70">
        <f t="shared" si="10"/>
        <v>565.8</v>
      </c>
      <c r="S17" s="70">
        <f t="shared" si="11"/>
        <v>1996.92</v>
      </c>
    </row>
    <row r="18" spans="1:19">
      <c r="A18" s="7">
        <v>17</v>
      </c>
      <c r="B18" s="7" t="s">
        <v>19</v>
      </c>
      <c r="C18" s="7" t="s">
        <v>54</v>
      </c>
      <c r="D18" s="45" t="s">
        <v>55</v>
      </c>
      <c r="E18" s="46" t="s">
        <v>27</v>
      </c>
      <c r="F18" s="46">
        <f>VLOOKUP(C18,[1]城镇职工人员!$B$2:$C$26,2,0)</f>
        <v>3500</v>
      </c>
      <c r="G18" s="46">
        <f t="shared" si="12"/>
        <v>5360</v>
      </c>
      <c r="H18" s="46">
        <f t="shared" si="0"/>
        <v>5360</v>
      </c>
      <c r="I18" s="46">
        <f t="shared" si="1"/>
        <v>5360</v>
      </c>
      <c r="J18" s="70">
        <f t="shared" si="2"/>
        <v>857.6</v>
      </c>
      <c r="K18" s="70">
        <f t="shared" si="3"/>
        <v>26.8</v>
      </c>
      <c r="L18" s="70">
        <f t="shared" si="4"/>
        <v>21.44</v>
      </c>
      <c r="M18" s="70">
        <f t="shared" si="5"/>
        <v>525.28</v>
      </c>
      <c r="N18" s="70">
        <f t="shared" si="6"/>
        <v>1431.12</v>
      </c>
      <c r="O18" s="70">
        <f t="shared" si="7"/>
        <v>428.8</v>
      </c>
      <c r="P18" s="70">
        <f t="shared" si="8"/>
        <v>110.2</v>
      </c>
      <c r="Q18" s="70">
        <f t="shared" si="9"/>
        <v>26.8</v>
      </c>
      <c r="R18" s="70">
        <f t="shared" si="10"/>
        <v>565.8</v>
      </c>
      <c r="S18" s="70">
        <f t="shared" si="11"/>
        <v>1996.92</v>
      </c>
    </row>
    <row r="19" spans="1:19">
      <c r="A19" s="7">
        <v>18</v>
      </c>
      <c r="B19" s="7" t="s">
        <v>19</v>
      </c>
      <c r="C19" s="7" t="s">
        <v>56</v>
      </c>
      <c r="D19" s="47" t="s">
        <v>57</v>
      </c>
      <c r="E19" s="46" t="s">
        <v>27</v>
      </c>
      <c r="F19" s="46">
        <f>VLOOKUP(C19,[1]城镇职工人员!$B$2:$C$26,2,0)</f>
        <v>3600</v>
      </c>
      <c r="G19" s="46">
        <f t="shared" si="12"/>
        <v>5360</v>
      </c>
      <c r="H19" s="46">
        <f t="shared" si="0"/>
        <v>5360</v>
      </c>
      <c r="I19" s="46">
        <f t="shared" si="1"/>
        <v>5360</v>
      </c>
      <c r="J19" s="70">
        <f t="shared" si="2"/>
        <v>857.6</v>
      </c>
      <c r="K19" s="70">
        <f t="shared" si="3"/>
        <v>26.8</v>
      </c>
      <c r="L19" s="70">
        <f t="shared" si="4"/>
        <v>21.44</v>
      </c>
      <c r="M19" s="70">
        <f t="shared" si="5"/>
        <v>525.28</v>
      </c>
      <c r="N19" s="70">
        <f t="shared" si="6"/>
        <v>1431.12</v>
      </c>
      <c r="O19" s="70">
        <f t="shared" si="7"/>
        <v>428.8</v>
      </c>
      <c r="P19" s="70">
        <f t="shared" si="8"/>
        <v>110.2</v>
      </c>
      <c r="Q19" s="70">
        <f t="shared" si="9"/>
        <v>26.8</v>
      </c>
      <c r="R19" s="70">
        <f t="shared" si="10"/>
        <v>565.8</v>
      </c>
      <c r="S19" s="70">
        <f t="shared" si="11"/>
        <v>1996.92</v>
      </c>
    </row>
    <row r="20" s="40" customFormat="1" spans="1:19">
      <c r="A20" s="7">
        <v>19</v>
      </c>
      <c r="B20" s="7" t="s">
        <v>19</v>
      </c>
      <c r="C20" s="7" t="s">
        <v>58</v>
      </c>
      <c r="D20" s="47" t="s">
        <v>59</v>
      </c>
      <c r="E20" s="46" t="s">
        <v>27</v>
      </c>
      <c r="F20" s="46">
        <f>VLOOKUP(C20,[1]城镇职工人员!$B$2:$C$26,2,0)</f>
        <v>3600</v>
      </c>
      <c r="G20" s="46">
        <f t="shared" si="12"/>
        <v>5360</v>
      </c>
      <c r="H20" s="46">
        <f t="shared" si="0"/>
        <v>5360</v>
      </c>
      <c r="I20" s="46">
        <f t="shared" si="1"/>
        <v>5360</v>
      </c>
      <c r="J20" s="70">
        <f t="shared" si="2"/>
        <v>857.6</v>
      </c>
      <c r="K20" s="70">
        <f t="shared" si="3"/>
        <v>26.8</v>
      </c>
      <c r="L20" s="70">
        <f t="shared" si="4"/>
        <v>21.44</v>
      </c>
      <c r="M20" s="70">
        <f t="shared" si="5"/>
        <v>525.28</v>
      </c>
      <c r="N20" s="70">
        <f t="shared" si="6"/>
        <v>1431.12</v>
      </c>
      <c r="O20" s="70">
        <f t="shared" si="7"/>
        <v>428.8</v>
      </c>
      <c r="P20" s="70">
        <f t="shared" si="8"/>
        <v>110.2</v>
      </c>
      <c r="Q20" s="70">
        <f t="shared" si="9"/>
        <v>26.8</v>
      </c>
      <c r="R20" s="70">
        <f t="shared" si="10"/>
        <v>565.8</v>
      </c>
      <c r="S20" s="70">
        <f t="shared" si="11"/>
        <v>1996.92</v>
      </c>
    </row>
    <row r="21" s="40" customFormat="1" spans="1:19">
      <c r="A21" s="7">
        <v>20</v>
      </c>
      <c r="B21" s="7" t="s">
        <v>19</v>
      </c>
      <c r="C21" s="7" t="s">
        <v>60</v>
      </c>
      <c r="D21" s="77" t="s">
        <v>61</v>
      </c>
      <c r="E21" s="46" t="s">
        <v>27</v>
      </c>
      <c r="F21" s="46">
        <f>VLOOKUP(C21,[1]城镇职工人员!$B$2:$C$26,2,0)</f>
        <v>3600</v>
      </c>
      <c r="G21" s="46">
        <f t="shared" si="12"/>
        <v>5360</v>
      </c>
      <c r="H21" s="46">
        <f t="shared" si="0"/>
        <v>5360</v>
      </c>
      <c r="I21" s="46">
        <f t="shared" si="1"/>
        <v>5360</v>
      </c>
      <c r="J21" s="70">
        <f t="shared" si="2"/>
        <v>857.6</v>
      </c>
      <c r="K21" s="70">
        <f t="shared" si="3"/>
        <v>26.8</v>
      </c>
      <c r="L21" s="70">
        <f t="shared" si="4"/>
        <v>21.44</v>
      </c>
      <c r="M21" s="70">
        <f t="shared" si="5"/>
        <v>525.28</v>
      </c>
      <c r="N21" s="70">
        <f t="shared" si="6"/>
        <v>1431.12</v>
      </c>
      <c r="O21" s="70">
        <f t="shared" si="7"/>
        <v>428.8</v>
      </c>
      <c r="P21" s="70">
        <f t="shared" si="8"/>
        <v>110.2</v>
      </c>
      <c r="Q21" s="70">
        <f t="shared" si="9"/>
        <v>26.8</v>
      </c>
      <c r="R21" s="70">
        <f t="shared" si="10"/>
        <v>565.8</v>
      </c>
      <c r="S21" s="70">
        <f t="shared" si="11"/>
        <v>1996.92</v>
      </c>
    </row>
    <row r="22" s="40" customFormat="1" spans="1:19">
      <c r="A22" s="7">
        <v>21</v>
      </c>
      <c r="B22" s="7" t="s">
        <v>19</v>
      </c>
      <c r="C22" s="7" t="s">
        <v>62</v>
      </c>
      <c r="D22" s="77" t="s">
        <v>63</v>
      </c>
      <c r="E22" s="46" t="s">
        <v>64</v>
      </c>
      <c r="F22" s="46">
        <f>VLOOKUP(C22,[1]城镇职工人员!$B$2:$C$26,2,0)</f>
        <v>3600</v>
      </c>
      <c r="G22" s="46">
        <f>IF(F22&lt;=5360,5360,IF(F22&lt;=28221,F22,28221))</f>
        <v>5360</v>
      </c>
      <c r="H22" s="46">
        <f>IF(F22&lt;=5360,5360,IF(F22&lt;=28221,F22,28221))</f>
        <v>5360</v>
      </c>
      <c r="I22" s="46">
        <f>IF(F22&lt;=5360,5360,IF(F22&lt;=28221,F22,28221))</f>
        <v>5360</v>
      </c>
      <c r="J22" s="70">
        <f>ROUND(G22*0.16,2)</f>
        <v>857.6</v>
      </c>
      <c r="K22" s="70">
        <f>ROUND(G22*0.005,2)</f>
        <v>26.8</v>
      </c>
      <c r="L22" s="70">
        <f>ROUND(H22*0.004,2)</f>
        <v>21.44</v>
      </c>
      <c r="M22" s="70">
        <f>ROUND(I22*0.098,2)</f>
        <v>525.28</v>
      </c>
      <c r="N22" s="70">
        <f>SUM(J22:M22)</f>
        <v>1431.12</v>
      </c>
      <c r="O22" s="70">
        <f>ROUND(G22*0.08,2)</f>
        <v>428.8</v>
      </c>
      <c r="P22" s="70">
        <f>ROUND(I22*0.02+3,2)</f>
        <v>110.2</v>
      </c>
      <c r="Q22" s="70">
        <f>G22*0.005</f>
        <v>26.8</v>
      </c>
      <c r="R22" s="70">
        <f>SUM(O22:Q22)</f>
        <v>565.8</v>
      </c>
      <c r="S22" s="70">
        <f>R22+N22</f>
        <v>1996.92</v>
      </c>
    </row>
    <row r="23" s="40" customFormat="1" spans="1:19">
      <c r="A23" s="7">
        <v>22</v>
      </c>
      <c r="B23" s="7" t="s">
        <v>19</v>
      </c>
      <c r="C23" s="7" t="s">
        <v>65</v>
      </c>
      <c r="D23" s="77" t="s">
        <v>66</v>
      </c>
      <c r="E23" s="46" t="s">
        <v>22</v>
      </c>
      <c r="F23" s="46">
        <f>VLOOKUP(C23,[1]城镇职工人员!$B$2:$C$26,2,0)</f>
        <v>3600</v>
      </c>
      <c r="G23" s="46">
        <f>IF(F23&lt;=5360,5360,IF(F23&lt;=28221,F23,28221))</f>
        <v>5360</v>
      </c>
      <c r="H23" s="46">
        <f>IF(F23&lt;=5360,5360,IF(F23&lt;=28221,F23,28221))</f>
        <v>5360</v>
      </c>
      <c r="I23" s="46">
        <f>IF(F23&lt;=5360,5360,IF(F23&lt;=28221,F23,28221))</f>
        <v>5360</v>
      </c>
      <c r="J23" s="70">
        <f>ROUND(G23*0.16,2)</f>
        <v>857.6</v>
      </c>
      <c r="K23" s="70">
        <f>ROUND(G23*0.005,2)</f>
        <v>26.8</v>
      </c>
      <c r="L23" s="70">
        <f>ROUND(H23*0.004,2)</f>
        <v>21.44</v>
      </c>
      <c r="M23" s="70">
        <f>ROUND(I23*0.098,2)</f>
        <v>525.28</v>
      </c>
      <c r="N23" s="70">
        <f>SUM(J23:M23)</f>
        <v>1431.12</v>
      </c>
      <c r="O23" s="70">
        <f>ROUND(G23*0.08,2)</f>
        <v>428.8</v>
      </c>
      <c r="P23" s="70">
        <f>ROUND(I23*0.02+3,2)</f>
        <v>110.2</v>
      </c>
      <c r="Q23" s="70">
        <f>G23*0.005</f>
        <v>26.8</v>
      </c>
      <c r="R23" s="70">
        <f>SUM(O23:Q23)</f>
        <v>565.8</v>
      </c>
      <c r="S23" s="70">
        <f>R23+N23</f>
        <v>1996.92</v>
      </c>
    </row>
    <row r="24" s="41" customFormat="1" spans="1:19">
      <c r="A24" s="7">
        <v>23</v>
      </c>
      <c r="B24" s="49" t="s">
        <v>19</v>
      </c>
      <c r="C24" s="49" t="s">
        <v>67</v>
      </c>
      <c r="D24" s="50" t="s">
        <v>68</v>
      </c>
      <c r="E24" s="50" t="s">
        <v>27</v>
      </c>
      <c r="F24" s="51">
        <v>3500</v>
      </c>
      <c r="G24" s="52">
        <f>IF(F24&lt;=5360,5360,IF(F24&lt;=28221,F24,28221))</f>
        <v>5360</v>
      </c>
      <c r="H24" s="52">
        <f>IF(F24&lt;=5360,5360,IF(F24&lt;=28221,F24,28221))</f>
        <v>5360</v>
      </c>
      <c r="I24" s="52">
        <f>IF(F24&lt;=5360,5360,IF(F24&lt;=28221,F24,28221))</f>
        <v>5360</v>
      </c>
      <c r="J24" s="71">
        <f>ROUND(G24*0.16,2)</f>
        <v>857.6</v>
      </c>
      <c r="K24" s="71">
        <f>ROUND(G24*0.005,2)</f>
        <v>26.8</v>
      </c>
      <c r="L24" s="71">
        <f>ROUND(H24*0.004,2)</f>
        <v>21.44</v>
      </c>
      <c r="M24" s="71">
        <f>ROUND(I24*0.098,2)</f>
        <v>525.28</v>
      </c>
      <c r="N24" s="71">
        <f>SUM(J24:M24)</f>
        <v>1431.12</v>
      </c>
      <c r="O24" s="71">
        <f>ROUND(G24*0.08,2)</f>
        <v>428.8</v>
      </c>
      <c r="P24" s="71">
        <f>ROUND(I24*0.02+3,2)</f>
        <v>110.2</v>
      </c>
      <c r="Q24" s="71">
        <f>G24*0.005</f>
        <v>26.8</v>
      </c>
      <c r="R24" s="71">
        <f>SUM(O24:Q24)</f>
        <v>565.8</v>
      </c>
      <c r="S24" s="71">
        <f>R24+N24</f>
        <v>1996.92</v>
      </c>
    </row>
    <row r="25" s="41" customFormat="1" spans="1:19">
      <c r="A25" s="7">
        <v>24</v>
      </c>
      <c r="B25" s="49" t="s">
        <v>19</v>
      </c>
      <c r="C25" s="49" t="s">
        <v>69</v>
      </c>
      <c r="D25" s="78" t="s">
        <v>70</v>
      </c>
      <c r="E25" s="50" t="s">
        <v>22</v>
      </c>
      <c r="F25" s="51">
        <v>5000</v>
      </c>
      <c r="G25" s="52">
        <f>IF(F25&lt;=5360,5360,IF(F25&lt;=28221,F25,28221))</f>
        <v>5360</v>
      </c>
      <c r="H25" s="52">
        <f>IF(F25&lt;=5360,5360,IF(F25&lt;=28221,F25,28221))</f>
        <v>5360</v>
      </c>
      <c r="I25" s="52">
        <f>IF(F25&lt;=5360,5360,IF(F25&lt;=28221,F25,28221))</f>
        <v>5360</v>
      </c>
      <c r="J25" s="71">
        <f>ROUND(G25*0.16,2)</f>
        <v>857.6</v>
      </c>
      <c r="K25" s="71">
        <f>ROUND(G25*0.005,2)</f>
        <v>26.8</v>
      </c>
      <c r="L25" s="71">
        <f>ROUND(H25*0.004,2)</f>
        <v>21.44</v>
      </c>
      <c r="M25" s="71">
        <f>ROUND(I25*0.098,2)</f>
        <v>525.28</v>
      </c>
      <c r="N25" s="71">
        <f>SUM(J25:M25)</f>
        <v>1431.12</v>
      </c>
      <c r="O25" s="71">
        <f>ROUND(G25*0.08,2)</f>
        <v>428.8</v>
      </c>
      <c r="P25" s="71">
        <f>ROUND(I25*0.02+3,2)</f>
        <v>110.2</v>
      </c>
      <c r="Q25" s="71">
        <f>G25*0.005</f>
        <v>26.8</v>
      </c>
      <c r="R25" s="71">
        <f>SUM(O25:Q25)</f>
        <v>565.8</v>
      </c>
      <c r="S25" s="71">
        <f>R25+N25</f>
        <v>1996.92</v>
      </c>
    </row>
    <row r="26" s="41" customFormat="1" spans="1:19">
      <c r="A26" s="7">
        <v>25</v>
      </c>
      <c r="B26" s="49" t="s">
        <v>19</v>
      </c>
      <c r="C26" s="49" t="s">
        <v>71</v>
      </c>
      <c r="D26" s="53" t="s">
        <v>72</v>
      </c>
      <c r="E26" s="51" t="s">
        <v>64</v>
      </c>
      <c r="F26" s="51">
        <v>3600</v>
      </c>
      <c r="G26" s="52">
        <f>IF(F26&lt;=5360,5360,IF(F26&lt;=28221,F26,28221))</f>
        <v>5360</v>
      </c>
      <c r="H26" s="52">
        <f>IF(F26&lt;=5360,5360,IF(F26&lt;=28221,F26,28221))</f>
        <v>5360</v>
      </c>
      <c r="I26" s="52">
        <f>IF(F26&lt;=5360,5360,IF(F26&lt;=28221,F26,28221))</f>
        <v>5360</v>
      </c>
      <c r="J26" s="71">
        <f>ROUND(G26*0.16,2)</f>
        <v>857.6</v>
      </c>
      <c r="K26" s="71">
        <f>ROUND(G26*0.005,2)</f>
        <v>26.8</v>
      </c>
      <c r="L26" s="71">
        <f>ROUND(H26*0.004,2)</f>
        <v>21.44</v>
      </c>
      <c r="M26" s="71">
        <f>ROUND(I26*0.098,2)</f>
        <v>525.28</v>
      </c>
      <c r="N26" s="71">
        <f>SUM(J26:M26)</f>
        <v>1431.12</v>
      </c>
      <c r="O26" s="71">
        <f>ROUND(G26*0.08,2)</f>
        <v>428.8</v>
      </c>
      <c r="P26" s="71">
        <f>ROUND(I26*0.02+3,2)</f>
        <v>110.2</v>
      </c>
      <c r="Q26" s="71">
        <f>G26*0.005</f>
        <v>26.8</v>
      </c>
      <c r="R26" s="71">
        <f>SUM(O26:Q26)</f>
        <v>565.8</v>
      </c>
      <c r="S26" s="71">
        <f>R26+N26</f>
        <v>1996.92</v>
      </c>
    </row>
    <row r="27" s="41" customFormat="1" spans="1:19">
      <c r="A27" s="7">
        <v>26</v>
      </c>
      <c r="B27" s="49" t="s">
        <v>19</v>
      </c>
      <c r="C27" s="54" t="s">
        <v>73</v>
      </c>
      <c r="D27" s="79" t="s">
        <v>74</v>
      </c>
      <c r="E27" s="51" t="s">
        <v>75</v>
      </c>
      <c r="F27" s="51">
        <v>3600</v>
      </c>
      <c r="G27" s="52">
        <f>IF(F27&lt;=5360,5360,IF(F27&lt;=28221,F27,28221))</f>
        <v>5360</v>
      </c>
      <c r="H27" s="52">
        <f>IF(F27&lt;=5360,5360,IF(F27&lt;=28221,F27,28221))</f>
        <v>5360</v>
      </c>
      <c r="I27" s="52">
        <f>IF(F27&lt;=5360,5360,IF(F27&lt;=28221,F27,28221))</f>
        <v>5360</v>
      </c>
      <c r="J27" s="71">
        <f>ROUND(G27*0.16,2)</f>
        <v>857.6</v>
      </c>
      <c r="K27" s="71">
        <f>ROUND(G27*0.005,2)</f>
        <v>26.8</v>
      </c>
      <c r="L27" s="71">
        <f>ROUND(H27*0.004,2)</f>
        <v>21.44</v>
      </c>
      <c r="M27" s="71">
        <f>ROUND(I27*0.098,2)</f>
        <v>525.28</v>
      </c>
      <c r="N27" s="71">
        <f>SUM(J27:M27)</f>
        <v>1431.12</v>
      </c>
      <c r="O27" s="71">
        <f>ROUND(G27*0.08,2)</f>
        <v>428.8</v>
      </c>
      <c r="P27" s="71">
        <f>ROUND(I27*0.02+3,2)</f>
        <v>110.2</v>
      </c>
      <c r="Q27" s="71">
        <f>G27*0.005</f>
        <v>26.8</v>
      </c>
      <c r="R27" s="71">
        <f>SUM(O27:Q27)</f>
        <v>565.8</v>
      </c>
      <c r="S27" s="71">
        <f>R27+N27</f>
        <v>1996.92</v>
      </c>
    </row>
    <row r="28" s="41" customFormat="1" spans="1:19">
      <c r="A28" s="7">
        <v>27</v>
      </c>
      <c r="B28" s="49" t="s">
        <v>19</v>
      </c>
      <c r="C28" s="56" t="s">
        <v>76</v>
      </c>
      <c r="D28" s="55" t="s">
        <v>77</v>
      </c>
      <c r="E28" s="51" t="s">
        <v>22</v>
      </c>
      <c r="F28" s="51">
        <v>3600</v>
      </c>
      <c r="G28" s="52">
        <f>IF(F28&lt;=5360,5360,IF(F28&lt;=28221,F28,28221))</f>
        <v>5360</v>
      </c>
      <c r="H28" s="52">
        <f>IF(F28&lt;=5360,5360,IF(F28&lt;=28221,F28,28221))</f>
        <v>5360</v>
      </c>
      <c r="I28" s="52">
        <f>IF(F28&lt;=5360,5360,IF(F28&lt;=28221,F28,28221))</f>
        <v>5360</v>
      </c>
      <c r="J28" s="71">
        <f>ROUND(G28*0.16,2)</f>
        <v>857.6</v>
      </c>
      <c r="K28" s="71">
        <f>ROUND(G28*0.005,2)</f>
        <v>26.8</v>
      </c>
      <c r="L28" s="71">
        <f>ROUND(H28*0.004,2)</f>
        <v>21.44</v>
      </c>
      <c r="M28" s="71">
        <f>ROUND(I28*0.098,2)</f>
        <v>525.28</v>
      </c>
      <c r="N28" s="71">
        <f>SUM(J28:M28)</f>
        <v>1431.12</v>
      </c>
      <c r="O28" s="71">
        <f>ROUND(G28*0.08,2)</f>
        <v>428.8</v>
      </c>
      <c r="P28" s="71">
        <f>ROUND(I28*0.02+3,2)</f>
        <v>110.2</v>
      </c>
      <c r="Q28" s="71">
        <f>G28*0.005</f>
        <v>26.8</v>
      </c>
      <c r="R28" s="71">
        <f>SUM(O28:Q28)</f>
        <v>565.8</v>
      </c>
      <c r="S28" s="71">
        <f>R28+N28</f>
        <v>1996.92</v>
      </c>
    </row>
    <row r="29" s="42" customFormat="1" spans="1:19">
      <c r="A29" s="57">
        <v>28</v>
      </c>
      <c r="B29" s="57" t="s">
        <v>19</v>
      </c>
      <c r="C29" s="58" t="s">
        <v>78</v>
      </c>
      <c r="D29" s="80" t="s">
        <v>79</v>
      </c>
      <c r="E29" s="60"/>
      <c r="F29" s="60">
        <v>4500</v>
      </c>
      <c r="G29" s="60">
        <f>IF(F29&lt;=5360,5360,IF(F29&lt;=28221,F29,28221))</f>
        <v>5360</v>
      </c>
      <c r="H29" s="60">
        <f>IF(F29&lt;=5360,5360,IF(F29&lt;=28221,F29,28221))</f>
        <v>5360</v>
      </c>
      <c r="I29" s="60">
        <f>IF(F29&lt;=5360,5360,IF(F29&lt;=28221,F29,28221))</f>
        <v>5360</v>
      </c>
      <c r="J29" s="72">
        <f>ROUND(G29*0.16,2)</f>
        <v>857.6</v>
      </c>
      <c r="K29" s="72">
        <f>ROUND(G29*0.005,2)</f>
        <v>26.8</v>
      </c>
      <c r="L29" s="72">
        <f>ROUND(H29*0.004,2)</f>
        <v>21.44</v>
      </c>
      <c r="M29" s="72">
        <f>ROUND(I29*0.098,2)</f>
        <v>525.28</v>
      </c>
      <c r="N29" s="72">
        <f>SUM(J29:M29)</f>
        <v>1431.12</v>
      </c>
      <c r="O29" s="72">
        <f>ROUND(G29*0.08,2)</f>
        <v>428.8</v>
      </c>
      <c r="P29" s="72">
        <f>ROUND(I29*0.02+3,2)</f>
        <v>110.2</v>
      </c>
      <c r="Q29" s="72">
        <f>G29*0.005</f>
        <v>26.8</v>
      </c>
      <c r="R29" s="72">
        <f>SUM(O29:Q29)</f>
        <v>565.8</v>
      </c>
      <c r="S29" s="72">
        <f>R29+N29</f>
        <v>1996.92</v>
      </c>
    </row>
    <row r="30" s="42" customFormat="1" spans="1:19">
      <c r="A30" s="61">
        <v>22</v>
      </c>
      <c r="B30" s="61" t="s">
        <v>19</v>
      </c>
      <c r="C30" s="61" t="s">
        <v>80</v>
      </c>
      <c r="D30" s="81" t="s">
        <v>81</v>
      </c>
      <c r="E30" s="63" t="s">
        <v>64</v>
      </c>
      <c r="F30" s="63">
        <f>VLOOKUP(C30,[1]城镇职工人员!$B$2:$C$26,2,0)</f>
        <v>3600</v>
      </c>
      <c r="G30" s="63">
        <f>IF(F30&lt;=5360,5360,IF(F30&lt;=28221,F30,28221))</f>
        <v>5360</v>
      </c>
      <c r="H30" s="63">
        <f>IF(F30&lt;=5360,5360,IF(F30&lt;=28221,F30,28221))</f>
        <v>5360</v>
      </c>
      <c r="I30" s="63">
        <f>IF(F30&lt;=5360,5360,IF(F30&lt;=28221,F30,28221))</f>
        <v>5360</v>
      </c>
      <c r="J30" s="73">
        <f>ROUND(G30*0.16,2)</f>
        <v>857.6</v>
      </c>
      <c r="K30" s="73">
        <f>ROUND(G30*0.005,2)</f>
        <v>26.8</v>
      </c>
      <c r="L30" s="73">
        <f>ROUND(H30*0.004,2)</f>
        <v>21.44</v>
      </c>
      <c r="M30" s="73">
        <f>ROUND(I30*0.098,2)</f>
        <v>525.28</v>
      </c>
      <c r="N30" s="73">
        <f>SUM(J30:M30)</f>
        <v>1431.12</v>
      </c>
      <c r="O30" s="73">
        <f>ROUND(G30*0.08,2)</f>
        <v>428.8</v>
      </c>
      <c r="P30" s="73">
        <f>ROUND(I30*0.02+3,2)</f>
        <v>110.2</v>
      </c>
      <c r="Q30" s="73">
        <f>G30*0.005</f>
        <v>26.8</v>
      </c>
      <c r="R30" s="73">
        <f>SUM(O30:Q30)</f>
        <v>565.8</v>
      </c>
      <c r="S30" s="73">
        <f>R30+N30</f>
        <v>1996.92</v>
      </c>
    </row>
    <row r="31" s="42" customFormat="1" spans="1:19">
      <c r="A31" s="61">
        <v>29</v>
      </c>
      <c r="B31" s="61" t="s">
        <v>19</v>
      </c>
      <c r="C31" s="64" t="s">
        <v>82</v>
      </c>
      <c r="D31" s="62" t="s">
        <v>83</v>
      </c>
      <c r="E31" s="63" t="s">
        <v>27</v>
      </c>
      <c r="F31" s="63">
        <v>3600</v>
      </c>
      <c r="G31" s="63">
        <f>IF(F31&lt;=5360,5360,IF(F31&lt;=28221,F31,28221))</f>
        <v>5360</v>
      </c>
      <c r="H31" s="63">
        <f>IF(F31&lt;=5360,5360,IF(F31&lt;=28221,F31,28221))</f>
        <v>5360</v>
      </c>
      <c r="I31" s="63">
        <f>IF(F31&lt;=5360,5360,IF(F31&lt;=28221,F31,28221))</f>
        <v>5360</v>
      </c>
      <c r="J31" s="73">
        <f>ROUND(G31*0.16,2)</f>
        <v>857.6</v>
      </c>
      <c r="K31" s="73">
        <f>ROUND(G31*0.005,2)</f>
        <v>26.8</v>
      </c>
      <c r="L31" s="73">
        <f>ROUND(H31*0.004,2)</f>
        <v>21.44</v>
      </c>
      <c r="M31" s="73">
        <f>ROUND(I31*0.098,2)</f>
        <v>525.28</v>
      </c>
      <c r="N31" s="73">
        <f>SUM(J31:M31)</f>
        <v>1431.12</v>
      </c>
      <c r="O31" s="73">
        <f>ROUND(G31*0.08,2)</f>
        <v>428.8</v>
      </c>
      <c r="P31" s="73">
        <f>ROUND(I31*0.02+3,2)</f>
        <v>110.2</v>
      </c>
      <c r="Q31" s="73">
        <f>G31*0.005</f>
        <v>26.8</v>
      </c>
      <c r="R31" s="73">
        <f>SUM(O31:Q31)</f>
        <v>565.8</v>
      </c>
      <c r="S31" s="73">
        <f>R31+N31</f>
        <v>1996.92</v>
      </c>
    </row>
    <row r="32" s="42" customFormat="1" spans="1:19">
      <c r="A32" s="61">
        <v>7</v>
      </c>
      <c r="B32" s="61" t="s">
        <v>19</v>
      </c>
      <c r="C32" s="61" t="s">
        <v>84</v>
      </c>
      <c r="D32" s="82" t="s">
        <v>85</v>
      </c>
      <c r="E32" s="65" t="s">
        <v>27</v>
      </c>
      <c r="F32" s="63">
        <f>VLOOKUP(C32,[1]城镇职工人员!$B$2:$C$26,2,0)</f>
        <v>3800</v>
      </c>
      <c r="G32" s="63">
        <f>IF(F32&lt;=5360,5360,IF(F32&lt;=28221,F32,28221))</f>
        <v>5360</v>
      </c>
      <c r="H32" s="63">
        <f>IF(F32&lt;=5360,5360,IF(F32&lt;=28221,F32,28221))</f>
        <v>5360</v>
      </c>
      <c r="I32" s="63">
        <f>IF(F32&lt;=5360,5360,IF(F32&lt;=28221,F32,28221))</f>
        <v>5360</v>
      </c>
      <c r="J32" s="73">
        <f>ROUND(G32*0.16,2)</f>
        <v>857.6</v>
      </c>
      <c r="K32" s="73">
        <f>ROUND(G32*0.005,2)</f>
        <v>26.8</v>
      </c>
      <c r="L32" s="73">
        <f>ROUND(H32*0.004,2)</f>
        <v>21.44</v>
      </c>
      <c r="M32" s="73">
        <f>ROUND(I32*0.098,2)</f>
        <v>525.28</v>
      </c>
      <c r="N32" s="73">
        <f>SUM(J32:M32)</f>
        <v>1431.12</v>
      </c>
      <c r="O32" s="73">
        <f>ROUND(G32*0.08,2)</f>
        <v>428.8</v>
      </c>
      <c r="P32" s="73">
        <f>ROUND(I32*0.02+3,2)</f>
        <v>110.2</v>
      </c>
      <c r="Q32" s="73">
        <f>G32*0.005</f>
        <v>26.8</v>
      </c>
      <c r="R32" s="73">
        <f>SUM(O32:Q32)</f>
        <v>565.8</v>
      </c>
      <c r="S32" s="73">
        <f>R32+N32</f>
        <v>1996.92</v>
      </c>
    </row>
    <row r="33" spans="1:19">
      <c r="A33" s="49">
        <v>1</v>
      </c>
      <c r="B33" s="49" t="s">
        <v>86</v>
      </c>
      <c r="C33" s="49" t="s">
        <v>87</v>
      </c>
      <c r="D33" s="78" t="s">
        <v>88</v>
      </c>
      <c r="E33" s="50" t="s">
        <v>27</v>
      </c>
      <c r="F33" s="51">
        <v>3600</v>
      </c>
      <c r="G33" s="52">
        <f>IF(F33&lt;=5360,5360,IF(F33&lt;=28221,F33,28221))</f>
        <v>5360</v>
      </c>
      <c r="H33" s="52">
        <f>IF(F33&lt;=5360,5360,IF(F33&lt;=28221,F33,28221))</f>
        <v>5360</v>
      </c>
      <c r="I33" s="52">
        <f>IF(F33&lt;=5360,5360,IF(F33&lt;=28221,F33,28221))</f>
        <v>5360</v>
      </c>
      <c r="J33" s="71">
        <f>ROUND(G33*0.16,2)</f>
        <v>857.6</v>
      </c>
      <c r="K33" s="71">
        <f>ROUND(G33*0.005,2)</f>
        <v>26.8</v>
      </c>
      <c r="L33" s="71">
        <f>ROUND(H33*0.011,2)</f>
        <v>58.96</v>
      </c>
      <c r="M33" s="71">
        <f>ROUND(I33*0.098,2)</f>
        <v>525.28</v>
      </c>
      <c r="N33" s="71">
        <f>SUM(J33:M33)</f>
        <v>1468.64</v>
      </c>
      <c r="O33" s="71">
        <f>ROUND(G33*0.08,2)</f>
        <v>428.8</v>
      </c>
      <c r="P33" s="71">
        <f>ROUND(I33*0.02+3,2)</f>
        <v>110.2</v>
      </c>
      <c r="Q33" s="71">
        <f>G33*0.005</f>
        <v>26.8</v>
      </c>
      <c r="R33" s="71">
        <f>SUM(O33:Q33)</f>
        <v>565.8</v>
      </c>
      <c r="S33" s="71">
        <f>R33+N33</f>
        <v>2034.44</v>
      </c>
    </row>
    <row r="34" spans="1:19">
      <c r="A34" s="66">
        <v>1</v>
      </c>
      <c r="B34" s="66" t="s">
        <v>89</v>
      </c>
      <c r="C34" s="66" t="s">
        <v>90</v>
      </c>
      <c r="D34" s="83" t="s">
        <v>91</v>
      </c>
      <c r="E34" s="67" t="s">
        <v>27</v>
      </c>
      <c r="F34" s="52">
        <v>6000</v>
      </c>
      <c r="G34" s="52">
        <f>IF(F34&lt;=5360,5360,IF(F34&lt;=28221,F34,28221))</f>
        <v>6000</v>
      </c>
      <c r="H34" s="52">
        <f>IF(F34&lt;=5360,5360,IF(F34&lt;=28221,F34,28221))</f>
        <v>6000</v>
      </c>
      <c r="I34" s="52">
        <f>IF(F34&lt;=5360,5360,IF(F34&lt;=28221,F34,28221))</f>
        <v>6000</v>
      </c>
      <c r="J34" s="74">
        <f>ROUND(G34*0.16,2)</f>
        <v>960</v>
      </c>
      <c r="K34" s="74">
        <f>ROUND(G34*0.005,2)</f>
        <v>30</v>
      </c>
      <c r="L34" s="74">
        <f>ROUND(H34*0.004,2)</f>
        <v>24</v>
      </c>
      <c r="M34" s="74">
        <f>ROUND(I34*0.098,2)</f>
        <v>588</v>
      </c>
      <c r="N34" s="74">
        <f>SUM(J34:M34)</f>
        <v>1602</v>
      </c>
      <c r="O34" s="74">
        <f>ROUND(G34*0.08,2)</f>
        <v>480</v>
      </c>
      <c r="P34" s="74">
        <f>ROUND(I34*0.02+3,2)</f>
        <v>123</v>
      </c>
      <c r="Q34" s="74">
        <f>G34*0.005</f>
        <v>30</v>
      </c>
      <c r="R34" s="74">
        <f>SUM(O34:Q34)</f>
        <v>633</v>
      </c>
      <c r="S34" s="74">
        <f>R34+N34</f>
        <v>2235</v>
      </c>
    </row>
    <row r="35" s="40" customFormat="1" spans="1:19">
      <c r="A35" s="66">
        <v>1</v>
      </c>
      <c r="B35" s="66" t="s">
        <v>92</v>
      </c>
      <c r="C35" s="68" t="s">
        <v>93</v>
      </c>
      <c r="D35" s="68" t="s">
        <v>94</v>
      </c>
      <c r="E35" s="52" t="s">
        <v>27</v>
      </c>
      <c r="F35" s="52">
        <v>3600</v>
      </c>
      <c r="G35" s="52">
        <f>IF(F35&lt;=5360,5360,IF(F35&lt;=28221,F35,28221))</f>
        <v>5360</v>
      </c>
      <c r="H35" s="52">
        <f>IF(F35&lt;=5360,5360,IF(F35&lt;=28221,F35,28221))</f>
        <v>5360</v>
      </c>
      <c r="I35" s="52">
        <f>IF(F35&lt;=5360,5360,IF(F35&lt;=28221,F35,28221))</f>
        <v>5360</v>
      </c>
      <c r="J35" s="74">
        <f>ROUND(G35*0.16,2)</f>
        <v>857.6</v>
      </c>
      <c r="K35" s="74">
        <f>ROUND(G35*0.005,2)</f>
        <v>26.8</v>
      </c>
      <c r="L35" s="74">
        <f>ROUND(H35*0.004,2)</f>
        <v>21.44</v>
      </c>
      <c r="M35" s="74">
        <f>ROUND(I35*0.098,2)</f>
        <v>525.28</v>
      </c>
      <c r="N35" s="74">
        <f>SUM(J35:M35)</f>
        <v>1431.12</v>
      </c>
      <c r="O35" s="74">
        <f>ROUND(G35*0.08,2)</f>
        <v>428.8</v>
      </c>
      <c r="P35" s="74">
        <f>ROUND(I35*0.02+3,2)</f>
        <v>110.2</v>
      </c>
      <c r="Q35" s="74">
        <f>G35*0.005</f>
        <v>26.8</v>
      </c>
      <c r="R35" s="74">
        <f>SUM(O35:Q35)</f>
        <v>565.8</v>
      </c>
      <c r="S35" s="74">
        <f>R35+N35</f>
        <v>1996.92</v>
      </c>
    </row>
    <row r="36" spans="1:19">
      <c r="A36" s="45"/>
      <c r="B36" s="45"/>
      <c r="C36" s="45" t="s">
        <v>95</v>
      </c>
      <c r="D36" s="45"/>
      <c r="E36" s="45"/>
      <c r="F36" s="45"/>
      <c r="G36" s="45"/>
      <c r="H36" s="45"/>
      <c r="I36" s="45"/>
      <c r="J36" s="45"/>
      <c r="K36" s="45"/>
      <c r="L36" s="45"/>
      <c r="M36" s="70"/>
      <c r="N36" s="70">
        <f>SUM(N2:N21)</f>
        <v>31052.1</v>
      </c>
      <c r="O36" s="45"/>
      <c r="P36" s="45"/>
      <c r="Q36" s="45"/>
      <c r="R36" s="70">
        <f>SUM(R2:R21)</f>
        <v>12271.5</v>
      </c>
      <c r="S36" s="75">
        <f>SUM(S2:S21)</f>
        <v>43323.6</v>
      </c>
    </row>
  </sheetData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"/>
  <sheetViews>
    <sheetView workbookViewId="0">
      <selection activeCell="C15" sqref="C15"/>
    </sheetView>
  </sheetViews>
  <sheetFormatPr defaultColWidth="9" defaultRowHeight="15"/>
  <cols>
    <col min="2" max="2" width="16.8333333333333" customWidth="1"/>
    <col min="3" max="3" width="13.0833333333333" customWidth="1"/>
  </cols>
  <sheetData>
    <row r="1" ht="27" spans="1:58">
      <c r="A1" s="36" t="s">
        <v>2</v>
      </c>
      <c r="B1" s="36" t="s">
        <v>3</v>
      </c>
      <c r="C1" s="36" t="s">
        <v>4</v>
      </c>
      <c r="D1" s="37" t="s">
        <v>96</v>
      </c>
      <c r="E1" s="37" t="s">
        <v>97</v>
      </c>
      <c r="F1" s="37" t="s">
        <v>98</v>
      </c>
      <c r="G1" s="37" t="s">
        <v>99</v>
      </c>
      <c r="H1" s="37" t="s">
        <v>100</v>
      </c>
      <c r="I1" s="37" t="s">
        <v>101</v>
      </c>
      <c r="J1" s="37" t="s">
        <v>102</v>
      </c>
      <c r="K1" s="37" t="s">
        <v>103</v>
      </c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</row>
    <row r="2" spans="1:11">
      <c r="A2" s="17" t="s">
        <v>20</v>
      </c>
      <c r="B2" s="84" t="s">
        <v>21</v>
      </c>
      <c r="C2" s="17" t="s">
        <v>22</v>
      </c>
      <c r="D2" s="17">
        <v>9000</v>
      </c>
      <c r="E2" s="17">
        <f>D2*0.05</f>
        <v>450</v>
      </c>
      <c r="F2" s="17"/>
      <c r="G2" s="17">
        <f>E2+F2</f>
        <v>450</v>
      </c>
      <c r="H2" s="17"/>
      <c r="I2" s="17"/>
      <c r="J2" s="17" t="s">
        <v>19</v>
      </c>
      <c r="K2" s="17"/>
    </row>
    <row r="3" spans="1:11">
      <c r="A3" s="17" t="s">
        <v>104</v>
      </c>
      <c r="B3" s="84" t="s">
        <v>24</v>
      </c>
      <c r="C3" s="17" t="s">
        <v>22</v>
      </c>
      <c r="D3" s="17">
        <v>6000</v>
      </c>
      <c r="E3" s="17">
        <f>D3*0.05</f>
        <v>300</v>
      </c>
      <c r="F3" s="17"/>
      <c r="G3" s="17">
        <f>E3+F3</f>
        <v>300</v>
      </c>
      <c r="H3" s="17"/>
      <c r="I3" s="17"/>
      <c r="J3" s="17" t="s">
        <v>19</v>
      </c>
      <c r="K3" s="17"/>
    </row>
    <row r="4" s="35" customFormat="1" spans="1:11">
      <c r="A4" s="17" t="s">
        <v>84</v>
      </c>
      <c r="B4" s="85" t="s">
        <v>85</v>
      </c>
      <c r="C4" s="14" t="s">
        <v>27</v>
      </c>
      <c r="D4" s="17">
        <v>3800</v>
      </c>
      <c r="E4" s="17"/>
      <c r="F4" s="17">
        <f>D4*10%</f>
        <v>380</v>
      </c>
      <c r="G4" s="17">
        <f>E4+F4</f>
        <v>380</v>
      </c>
      <c r="H4" s="17"/>
      <c r="I4" s="17"/>
      <c r="J4" s="17" t="s">
        <v>19</v>
      </c>
      <c r="K4" s="17"/>
    </row>
    <row r="5" spans="1:11">
      <c r="A5" s="17" t="s">
        <v>105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14" spans="5:5">
      <c r="E14" s="38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43"/>
  <sheetViews>
    <sheetView zoomScale="85" zoomScaleNormal="85" workbookViewId="0">
      <pane ySplit="2" topLeftCell="A8" activePane="bottomLeft" state="frozen"/>
      <selection/>
      <selection pane="bottomLeft" activeCell="V56" sqref="V56"/>
    </sheetView>
  </sheetViews>
  <sheetFormatPr defaultColWidth="9" defaultRowHeight="15"/>
  <cols>
    <col min="1" max="1" width="5.08333333333333" style="24" customWidth="1"/>
    <col min="2" max="2" width="11.6666666666667" style="24" customWidth="1"/>
    <col min="3" max="3" width="7.83333333333333" style="24" customWidth="1"/>
    <col min="4" max="4" width="6.25" style="24" customWidth="1"/>
    <col min="5" max="5" width="18.8333333333333" style="24" hidden="1" customWidth="1"/>
    <col min="6" max="6" width="13.0833333333333" style="24" customWidth="1"/>
    <col min="7" max="9" width="7.58333333333333" style="24" hidden="1" customWidth="1"/>
    <col min="10" max="10" width="7.75" style="24" hidden="1" customWidth="1"/>
    <col min="11" max="13" width="7.58333333333333" style="24" hidden="1" customWidth="1"/>
    <col min="14" max="14" width="10.3333333333333" style="24" hidden="1" customWidth="1"/>
    <col min="15" max="15" width="8.58333333333333" style="24" hidden="1" customWidth="1"/>
    <col min="16" max="16" width="9.25" style="24" customWidth="1"/>
    <col min="17" max="20" width="8.58333333333333" style="24" hidden="1" customWidth="1"/>
    <col min="21" max="22" width="10.3333333333333" style="24" customWidth="1"/>
    <col min="23" max="16384" width="9" style="24"/>
  </cols>
  <sheetData>
    <row r="1" ht="21" spans="5:5">
      <c r="E1" s="25"/>
    </row>
    <row r="2" s="22" customFormat="1" ht="26" spans="1:60">
      <c r="A2" s="8" t="s">
        <v>0</v>
      </c>
      <c r="B2" s="8" t="s">
        <v>106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9" t="s">
        <v>12</v>
      </c>
      <c r="O2" s="9" t="s">
        <v>107</v>
      </c>
      <c r="P2" s="9" t="s">
        <v>108</v>
      </c>
      <c r="Q2" s="9" t="s">
        <v>14</v>
      </c>
      <c r="R2" s="9" t="s">
        <v>15</v>
      </c>
      <c r="S2" s="9" t="s">
        <v>16</v>
      </c>
      <c r="T2" s="9" t="s">
        <v>109</v>
      </c>
      <c r="U2" s="9" t="s">
        <v>110</v>
      </c>
      <c r="V2" s="9" t="s">
        <v>111</v>
      </c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</row>
    <row r="3" s="23" customFormat="1" ht="13" hidden="1" spans="1:22">
      <c r="A3" s="10">
        <v>1</v>
      </c>
      <c r="B3" s="10" t="s">
        <v>112</v>
      </c>
      <c r="C3" s="10" t="s">
        <v>19</v>
      </c>
      <c r="D3" s="10" t="s">
        <v>20</v>
      </c>
      <c r="E3" s="85" t="s">
        <v>21</v>
      </c>
      <c r="F3" s="14" t="s">
        <v>22</v>
      </c>
      <c r="G3" s="12">
        <v>9000</v>
      </c>
      <c r="H3" s="12">
        <f t="shared" ref="H3:H9" si="0">IF(G3&lt;=3613,3613,IF(G3&lt;=23565,G3,23565))</f>
        <v>9000</v>
      </c>
      <c r="I3" s="12">
        <f t="shared" ref="I3:I9" si="1">IF(G3&lt;=4713,4713,IF(G3&lt;=23565,G3,23565))</f>
        <v>9000</v>
      </c>
      <c r="J3" s="12">
        <f t="shared" ref="J3:J9" si="2">IF(G3&lt;=5557,5557,IF(G3&lt;=27786,G3,27786))</f>
        <v>9000</v>
      </c>
      <c r="K3" s="13">
        <f t="shared" ref="K3:K40" si="3">ROUND(H3*0.16,2)</f>
        <v>1440</v>
      </c>
      <c r="L3" s="13">
        <f t="shared" ref="L3:L40" si="4">ROUND(H3*0.008,2)</f>
        <v>72</v>
      </c>
      <c r="M3" s="13">
        <f t="shared" ref="M3:M40" si="5">ROUND(I3*0.004,2)</f>
        <v>36</v>
      </c>
      <c r="N3" s="13">
        <f t="shared" ref="N3:N40" si="6">ROUND(J3*0.108,2)</f>
        <v>972</v>
      </c>
      <c r="O3" s="13"/>
      <c r="P3" s="13">
        <f t="shared" ref="P3:P41" si="7">SUM(K3:O3)</f>
        <v>2520</v>
      </c>
      <c r="Q3" s="13">
        <f t="shared" ref="Q3:Q40" si="8">ROUND(H3*0.08,2)</f>
        <v>720</v>
      </c>
      <c r="R3" s="13">
        <f t="shared" ref="R3:R40" si="9">ROUND(J3*0.02+3,2)</f>
        <v>183</v>
      </c>
      <c r="S3" s="13">
        <f t="shared" ref="S3:S40" si="10">IF(OR(COUNTIF(F3,"*"&amp;"城"&amp;"*"),COUNTIF(F3,"*"&amp;"24号"&amp;"*")),ROUND(H3*0.002,2),0)</f>
        <v>18</v>
      </c>
      <c r="T3" s="13"/>
      <c r="U3" s="13">
        <f t="shared" ref="U3:U40" si="11">SUM(Q3:T3)</f>
        <v>921</v>
      </c>
      <c r="V3" s="13">
        <f t="shared" ref="V3:V41" si="12">U3+P3</f>
        <v>3441</v>
      </c>
    </row>
    <row r="4" s="23" customFormat="1" ht="13" hidden="1" spans="1:22">
      <c r="A4" s="10">
        <v>2</v>
      </c>
      <c r="B4" s="10" t="s">
        <v>113</v>
      </c>
      <c r="C4" s="10" t="s">
        <v>19</v>
      </c>
      <c r="D4" s="10" t="s">
        <v>23</v>
      </c>
      <c r="E4" s="85" t="s">
        <v>24</v>
      </c>
      <c r="F4" s="14" t="s">
        <v>22</v>
      </c>
      <c r="G4" s="12">
        <v>6000</v>
      </c>
      <c r="H4" s="12">
        <f t="shared" si="0"/>
        <v>6000</v>
      </c>
      <c r="I4" s="12">
        <f t="shared" si="1"/>
        <v>6000</v>
      </c>
      <c r="J4" s="12">
        <f t="shared" si="2"/>
        <v>6000</v>
      </c>
      <c r="K4" s="13">
        <f t="shared" si="3"/>
        <v>960</v>
      </c>
      <c r="L4" s="13">
        <f t="shared" si="4"/>
        <v>48</v>
      </c>
      <c r="M4" s="13">
        <f t="shared" si="5"/>
        <v>24</v>
      </c>
      <c r="N4" s="13">
        <f t="shared" si="6"/>
        <v>648</v>
      </c>
      <c r="O4" s="13"/>
      <c r="P4" s="13">
        <f t="shared" si="7"/>
        <v>1680</v>
      </c>
      <c r="Q4" s="13">
        <f t="shared" si="8"/>
        <v>480</v>
      </c>
      <c r="R4" s="13">
        <f t="shared" si="9"/>
        <v>123</v>
      </c>
      <c r="S4" s="13">
        <f t="shared" si="10"/>
        <v>12</v>
      </c>
      <c r="T4" s="13"/>
      <c r="U4" s="13">
        <f t="shared" si="11"/>
        <v>615</v>
      </c>
      <c r="V4" s="13">
        <f t="shared" si="12"/>
        <v>2295</v>
      </c>
    </row>
    <row r="5" s="23" customFormat="1" ht="13" hidden="1" spans="1:22">
      <c r="A5" s="10">
        <v>3</v>
      </c>
      <c r="B5" s="10" t="s">
        <v>114</v>
      </c>
      <c r="C5" s="10" t="s">
        <v>19</v>
      </c>
      <c r="D5" s="10" t="s">
        <v>25</v>
      </c>
      <c r="E5" s="85" t="s">
        <v>26</v>
      </c>
      <c r="F5" s="14" t="s">
        <v>27</v>
      </c>
      <c r="G5" s="12">
        <v>10000</v>
      </c>
      <c r="H5" s="12">
        <f t="shared" si="0"/>
        <v>10000</v>
      </c>
      <c r="I5" s="12">
        <f t="shared" si="1"/>
        <v>10000</v>
      </c>
      <c r="J5" s="12">
        <f t="shared" si="2"/>
        <v>10000</v>
      </c>
      <c r="K5" s="13">
        <f t="shared" si="3"/>
        <v>1600</v>
      </c>
      <c r="L5" s="13">
        <f t="shared" si="4"/>
        <v>80</v>
      </c>
      <c r="M5" s="13">
        <f t="shared" si="5"/>
        <v>40</v>
      </c>
      <c r="N5" s="13">
        <f t="shared" si="6"/>
        <v>1080</v>
      </c>
      <c r="O5" s="13"/>
      <c r="P5" s="13">
        <f t="shared" si="7"/>
        <v>2800</v>
      </c>
      <c r="Q5" s="13">
        <f t="shared" si="8"/>
        <v>800</v>
      </c>
      <c r="R5" s="13">
        <f t="shared" si="9"/>
        <v>203</v>
      </c>
      <c r="S5" s="13">
        <f t="shared" si="10"/>
        <v>0</v>
      </c>
      <c r="T5" s="13"/>
      <c r="U5" s="13">
        <f t="shared" si="11"/>
        <v>1003</v>
      </c>
      <c r="V5" s="13">
        <f t="shared" si="12"/>
        <v>3803</v>
      </c>
    </row>
    <row r="6" s="23" customFormat="1" ht="13" hidden="1" spans="1:22">
      <c r="A6" s="10">
        <v>4</v>
      </c>
      <c r="B6" s="10" t="s">
        <v>115</v>
      </c>
      <c r="C6" s="10" t="s">
        <v>19</v>
      </c>
      <c r="D6" s="10" t="s">
        <v>28</v>
      </c>
      <c r="E6" s="85" t="s">
        <v>29</v>
      </c>
      <c r="F6" s="14" t="s">
        <v>22</v>
      </c>
      <c r="G6" s="12">
        <v>5500</v>
      </c>
      <c r="H6" s="12">
        <f t="shared" si="0"/>
        <v>5500</v>
      </c>
      <c r="I6" s="12">
        <f t="shared" si="1"/>
        <v>5500</v>
      </c>
      <c r="J6" s="12">
        <f t="shared" si="2"/>
        <v>5557</v>
      </c>
      <c r="K6" s="13">
        <f t="shared" si="3"/>
        <v>880</v>
      </c>
      <c r="L6" s="13">
        <f t="shared" si="4"/>
        <v>44</v>
      </c>
      <c r="M6" s="13">
        <f t="shared" si="5"/>
        <v>22</v>
      </c>
      <c r="N6" s="13">
        <f t="shared" si="6"/>
        <v>600.16</v>
      </c>
      <c r="O6" s="13"/>
      <c r="P6" s="13">
        <f t="shared" si="7"/>
        <v>1546.16</v>
      </c>
      <c r="Q6" s="13">
        <f t="shared" si="8"/>
        <v>440</v>
      </c>
      <c r="R6" s="13">
        <f t="shared" si="9"/>
        <v>114.14</v>
      </c>
      <c r="S6" s="13">
        <f t="shared" si="10"/>
        <v>11</v>
      </c>
      <c r="T6" s="13"/>
      <c r="U6" s="13">
        <f t="shared" si="11"/>
        <v>565.14</v>
      </c>
      <c r="V6" s="13">
        <f t="shared" si="12"/>
        <v>2111.3</v>
      </c>
    </row>
    <row r="7" s="23" customFormat="1" ht="13" hidden="1" spans="1:22">
      <c r="A7" s="10">
        <v>5</v>
      </c>
      <c r="B7" s="10" t="s">
        <v>116</v>
      </c>
      <c r="C7" s="10" t="s">
        <v>19</v>
      </c>
      <c r="D7" s="10" t="s">
        <v>30</v>
      </c>
      <c r="E7" s="85" t="s">
        <v>31</v>
      </c>
      <c r="F7" s="14" t="s">
        <v>27</v>
      </c>
      <c r="G7" s="12">
        <v>3500</v>
      </c>
      <c r="H7" s="12">
        <f t="shared" si="0"/>
        <v>3613</v>
      </c>
      <c r="I7" s="12">
        <f t="shared" si="1"/>
        <v>4713</v>
      </c>
      <c r="J7" s="12">
        <f t="shared" si="2"/>
        <v>5557</v>
      </c>
      <c r="K7" s="13">
        <f t="shared" si="3"/>
        <v>578.08</v>
      </c>
      <c r="L7" s="13">
        <f t="shared" si="4"/>
        <v>28.9</v>
      </c>
      <c r="M7" s="13">
        <f t="shared" si="5"/>
        <v>18.85</v>
      </c>
      <c r="N7" s="13">
        <f t="shared" si="6"/>
        <v>600.16</v>
      </c>
      <c r="O7" s="13"/>
      <c r="P7" s="13">
        <f t="shared" si="7"/>
        <v>1225.99</v>
      </c>
      <c r="Q7" s="13">
        <f t="shared" si="8"/>
        <v>289.04</v>
      </c>
      <c r="R7" s="13">
        <f t="shared" si="9"/>
        <v>114.14</v>
      </c>
      <c r="S7" s="13">
        <f t="shared" si="10"/>
        <v>0</v>
      </c>
      <c r="T7" s="13"/>
      <c r="U7" s="13">
        <f t="shared" si="11"/>
        <v>403.18</v>
      </c>
      <c r="V7" s="13">
        <f t="shared" si="12"/>
        <v>1629.17</v>
      </c>
    </row>
    <row r="8" s="23" customFormat="1" ht="13" spans="1:22">
      <c r="A8" s="10">
        <v>6</v>
      </c>
      <c r="B8" s="10" t="s">
        <v>117</v>
      </c>
      <c r="C8" s="10" t="s">
        <v>19</v>
      </c>
      <c r="D8" s="10" t="s">
        <v>32</v>
      </c>
      <c r="E8" s="85" t="s">
        <v>33</v>
      </c>
      <c r="F8" s="14" t="s">
        <v>27</v>
      </c>
      <c r="G8" s="12">
        <v>5400</v>
      </c>
      <c r="H8" s="12">
        <f t="shared" si="0"/>
        <v>5400</v>
      </c>
      <c r="I8" s="12">
        <f t="shared" si="1"/>
        <v>5400</v>
      </c>
      <c r="J8" s="12">
        <f t="shared" si="2"/>
        <v>5557</v>
      </c>
      <c r="K8" s="13">
        <f t="shared" si="3"/>
        <v>864</v>
      </c>
      <c r="L8" s="13">
        <f t="shared" si="4"/>
        <v>43.2</v>
      </c>
      <c r="M8" s="13">
        <f t="shared" si="5"/>
        <v>21.6</v>
      </c>
      <c r="N8" s="13">
        <f t="shared" si="6"/>
        <v>600.16</v>
      </c>
      <c r="O8" s="13"/>
      <c r="P8" s="13">
        <f t="shared" si="7"/>
        <v>1528.96</v>
      </c>
      <c r="Q8" s="13">
        <f t="shared" si="8"/>
        <v>432</v>
      </c>
      <c r="R8" s="13">
        <f t="shared" si="9"/>
        <v>114.14</v>
      </c>
      <c r="S8" s="13">
        <f t="shared" si="10"/>
        <v>0</v>
      </c>
      <c r="T8" s="13"/>
      <c r="U8" s="13">
        <f t="shared" si="11"/>
        <v>546.14</v>
      </c>
      <c r="V8" s="13">
        <f t="shared" si="12"/>
        <v>2075.1</v>
      </c>
    </row>
    <row r="9" s="23" customFormat="1" ht="13" hidden="1" spans="1:22">
      <c r="A9" s="10">
        <v>7</v>
      </c>
      <c r="B9" s="10" t="s">
        <v>118</v>
      </c>
      <c r="C9" s="10" t="s">
        <v>19</v>
      </c>
      <c r="D9" s="10" t="s">
        <v>84</v>
      </c>
      <c r="E9" s="85" t="s">
        <v>85</v>
      </c>
      <c r="F9" s="14" t="s">
        <v>27</v>
      </c>
      <c r="G9" s="12">
        <v>3800</v>
      </c>
      <c r="H9" s="12">
        <f t="shared" si="0"/>
        <v>3800</v>
      </c>
      <c r="I9" s="12">
        <f t="shared" si="1"/>
        <v>4713</v>
      </c>
      <c r="J9" s="12">
        <f t="shared" si="2"/>
        <v>5557</v>
      </c>
      <c r="K9" s="13">
        <f t="shared" si="3"/>
        <v>608</v>
      </c>
      <c r="L9" s="13">
        <f t="shared" si="4"/>
        <v>30.4</v>
      </c>
      <c r="M9" s="13">
        <f t="shared" si="5"/>
        <v>18.85</v>
      </c>
      <c r="N9" s="13">
        <f t="shared" si="6"/>
        <v>600.16</v>
      </c>
      <c r="O9" s="13"/>
      <c r="P9" s="13">
        <f t="shared" si="7"/>
        <v>1257.41</v>
      </c>
      <c r="Q9" s="13">
        <f t="shared" si="8"/>
        <v>304</v>
      </c>
      <c r="R9" s="13">
        <f t="shared" si="9"/>
        <v>114.14</v>
      </c>
      <c r="S9" s="13">
        <f t="shared" si="10"/>
        <v>0</v>
      </c>
      <c r="T9" s="13"/>
      <c r="U9" s="13">
        <f t="shared" si="11"/>
        <v>418.14</v>
      </c>
      <c r="V9" s="13">
        <f t="shared" si="12"/>
        <v>1675.55</v>
      </c>
    </row>
    <row r="10" s="23" customFormat="1" ht="13" hidden="1" spans="1:63">
      <c r="A10" s="10">
        <v>8</v>
      </c>
      <c r="B10" s="10" t="s">
        <v>114</v>
      </c>
      <c r="C10" s="10" t="s">
        <v>19</v>
      </c>
      <c r="D10" s="11" t="s">
        <v>34</v>
      </c>
      <c r="E10" s="11" t="s">
        <v>35</v>
      </c>
      <c r="F10" s="12" t="s">
        <v>27</v>
      </c>
      <c r="G10" s="12">
        <v>3000</v>
      </c>
      <c r="H10" s="12">
        <v>3613</v>
      </c>
      <c r="I10" s="12">
        <v>4713</v>
      </c>
      <c r="J10" s="12">
        <v>5557</v>
      </c>
      <c r="K10" s="13">
        <f t="shared" si="3"/>
        <v>578.08</v>
      </c>
      <c r="L10" s="13">
        <f t="shared" si="4"/>
        <v>28.9</v>
      </c>
      <c r="M10" s="13">
        <f t="shared" si="5"/>
        <v>18.85</v>
      </c>
      <c r="N10" s="13">
        <f t="shared" si="6"/>
        <v>600.16</v>
      </c>
      <c r="O10" s="13"/>
      <c r="P10" s="13">
        <f t="shared" si="7"/>
        <v>1225.99</v>
      </c>
      <c r="Q10" s="13">
        <f t="shared" si="8"/>
        <v>289.04</v>
      </c>
      <c r="R10" s="13">
        <f t="shared" si="9"/>
        <v>114.14</v>
      </c>
      <c r="S10" s="13">
        <f t="shared" si="10"/>
        <v>0</v>
      </c>
      <c r="T10" s="13"/>
      <c r="U10" s="13">
        <f t="shared" si="11"/>
        <v>403.18</v>
      </c>
      <c r="V10" s="13">
        <f t="shared" si="12"/>
        <v>1629.17</v>
      </c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="23" customFormat="1" ht="13" hidden="1" spans="1:63">
      <c r="A11" s="10">
        <v>9</v>
      </c>
      <c r="B11" s="10" t="s">
        <v>119</v>
      </c>
      <c r="C11" s="10" t="s">
        <v>19</v>
      </c>
      <c r="D11" s="11" t="s">
        <v>120</v>
      </c>
      <c r="E11" s="11" t="s">
        <v>121</v>
      </c>
      <c r="F11" s="12" t="s">
        <v>27</v>
      </c>
      <c r="G11" s="12">
        <v>3000</v>
      </c>
      <c r="H11" s="12">
        <v>3613</v>
      </c>
      <c r="I11" s="12">
        <v>4713</v>
      </c>
      <c r="J11" s="12">
        <v>5557</v>
      </c>
      <c r="K11" s="13">
        <f t="shared" si="3"/>
        <v>578.08</v>
      </c>
      <c r="L11" s="13">
        <f t="shared" si="4"/>
        <v>28.9</v>
      </c>
      <c r="M11" s="13">
        <f t="shared" si="5"/>
        <v>18.85</v>
      </c>
      <c r="N11" s="13">
        <f t="shared" si="6"/>
        <v>600.16</v>
      </c>
      <c r="O11" s="13"/>
      <c r="P11" s="13">
        <f t="shared" si="7"/>
        <v>1225.99</v>
      </c>
      <c r="Q11" s="13">
        <f t="shared" si="8"/>
        <v>289.04</v>
      </c>
      <c r="R11" s="13">
        <f t="shared" si="9"/>
        <v>114.14</v>
      </c>
      <c r="S11" s="13">
        <f t="shared" si="10"/>
        <v>0</v>
      </c>
      <c r="T11" s="13"/>
      <c r="U11" s="13">
        <f t="shared" si="11"/>
        <v>403.18</v>
      </c>
      <c r="V11" s="13">
        <f t="shared" si="12"/>
        <v>1629.17</v>
      </c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="23" customFormat="1" ht="13" hidden="1" spans="1:63">
      <c r="A12" s="10">
        <v>10</v>
      </c>
      <c r="B12" s="10" t="s">
        <v>119</v>
      </c>
      <c r="C12" s="10" t="s">
        <v>19</v>
      </c>
      <c r="D12" s="11" t="s">
        <v>122</v>
      </c>
      <c r="E12" s="11" t="s">
        <v>123</v>
      </c>
      <c r="F12" s="12" t="s">
        <v>27</v>
      </c>
      <c r="G12" s="12">
        <v>3000</v>
      </c>
      <c r="H12" s="12">
        <v>3613</v>
      </c>
      <c r="I12" s="12">
        <v>4713</v>
      </c>
      <c r="J12" s="12">
        <v>5557</v>
      </c>
      <c r="K12" s="13">
        <f t="shared" si="3"/>
        <v>578.08</v>
      </c>
      <c r="L12" s="13">
        <f t="shared" si="4"/>
        <v>28.9</v>
      </c>
      <c r="M12" s="13">
        <f t="shared" si="5"/>
        <v>18.85</v>
      </c>
      <c r="N12" s="13">
        <f t="shared" si="6"/>
        <v>600.16</v>
      </c>
      <c r="O12" s="13"/>
      <c r="P12" s="13">
        <f t="shared" si="7"/>
        <v>1225.99</v>
      </c>
      <c r="Q12" s="13">
        <f t="shared" si="8"/>
        <v>289.04</v>
      </c>
      <c r="R12" s="13">
        <f t="shared" si="9"/>
        <v>114.14</v>
      </c>
      <c r="S12" s="13">
        <f t="shared" si="10"/>
        <v>0</v>
      </c>
      <c r="T12" s="13"/>
      <c r="U12" s="13">
        <f t="shared" si="11"/>
        <v>403.18</v>
      </c>
      <c r="V12" s="13">
        <f t="shared" si="12"/>
        <v>1629.17</v>
      </c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="23" customFormat="1" ht="13" hidden="1" spans="1:63">
      <c r="A13" s="10">
        <v>11</v>
      </c>
      <c r="B13" s="10" t="s">
        <v>118</v>
      </c>
      <c r="C13" s="10" t="s">
        <v>19</v>
      </c>
      <c r="D13" s="11" t="s">
        <v>36</v>
      </c>
      <c r="E13" s="11" t="s">
        <v>37</v>
      </c>
      <c r="F13" s="12" t="s">
        <v>27</v>
      </c>
      <c r="G13" s="12">
        <v>3000</v>
      </c>
      <c r="H13" s="12">
        <v>3613</v>
      </c>
      <c r="I13" s="12">
        <v>4713</v>
      </c>
      <c r="J13" s="12">
        <v>5557</v>
      </c>
      <c r="K13" s="13">
        <f t="shared" si="3"/>
        <v>578.08</v>
      </c>
      <c r="L13" s="13">
        <f t="shared" si="4"/>
        <v>28.9</v>
      </c>
      <c r="M13" s="13">
        <f t="shared" si="5"/>
        <v>18.85</v>
      </c>
      <c r="N13" s="13">
        <f t="shared" si="6"/>
        <v>600.16</v>
      </c>
      <c r="O13" s="13"/>
      <c r="P13" s="13">
        <f t="shared" si="7"/>
        <v>1225.99</v>
      </c>
      <c r="Q13" s="13">
        <f t="shared" si="8"/>
        <v>289.04</v>
      </c>
      <c r="R13" s="13">
        <f t="shared" si="9"/>
        <v>114.14</v>
      </c>
      <c r="S13" s="13">
        <f t="shared" si="10"/>
        <v>0</v>
      </c>
      <c r="T13" s="13"/>
      <c r="U13" s="13">
        <f t="shared" si="11"/>
        <v>403.18</v>
      </c>
      <c r="V13" s="13">
        <f t="shared" si="12"/>
        <v>1629.17</v>
      </c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="23" customFormat="1" ht="13" hidden="1" spans="1:22">
      <c r="A14" s="10">
        <v>12</v>
      </c>
      <c r="B14" s="10" t="s">
        <v>113</v>
      </c>
      <c r="C14" s="10" t="s">
        <v>19</v>
      </c>
      <c r="D14" s="11" t="s">
        <v>38</v>
      </c>
      <c r="E14" s="86" t="s">
        <v>39</v>
      </c>
      <c r="F14" s="14" t="s">
        <v>27</v>
      </c>
      <c r="G14" s="12">
        <v>3500</v>
      </c>
      <c r="H14" s="12">
        <f t="shared" ref="H14:H18" si="13">IF(G14&lt;=3613,3613,IF(G14&lt;=23565,G14,23565))</f>
        <v>3613</v>
      </c>
      <c r="I14" s="12">
        <f t="shared" ref="I14:I18" si="14">IF(G14&lt;=4713,4713,IF(G14&lt;=23565,G14,23565))</f>
        <v>4713</v>
      </c>
      <c r="J14" s="12">
        <f t="shared" ref="J14:J18" si="15">IF(G14&lt;=5557,5557,IF(G14&lt;=27786,G14,27786))</f>
        <v>5557</v>
      </c>
      <c r="K14" s="13">
        <f t="shared" si="3"/>
        <v>578.08</v>
      </c>
      <c r="L14" s="13">
        <f t="shared" si="4"/>
        <v>28.9</v>
      </c>
      <c r="M14" s="13">
        <f t="shared" si="5"/>
        <v>18.85</v>
      </c>
      <c r="N14" s="13">
        <f t="shared" si="6"/>
        <v>600.16</v>
      </c>
      <c r="O14" s="13"/>
      <c r="P14" s="13">
        <f t="shared" si="7"/>
        <v>1225.99</v>
      </c>
      <c r="Q14" s="13">
        <f t="shared" si="8"/>
        <v>289.04</v>
      </c>
      <c r="R14" s="13">
        <f t="shared" si="9"/>
        <v>114.14</v>
      </c>
      <c r="S14" s="13">
        <f t="shared" si="10"/>
        <v>0</v>
      </c>
      <c r="T14" s="13"/>
      <c r="U14" s="13">
        <f t="shared" si="11"/>
        <v>403.18</v>
      </c>
      <c r="V14" s="13">
        <f t="shared" si="12"/>
        <v>1629.17</v>
      </c>
    </row>
    <row r="15" s="23" customFormat="1" ht="13" spans="1:22">
      <c r="A15" s="10">
        <v>13</v>
      </c>
      <c r="B15" s="10" t="s">
        <v>117</v>
      </c>
      <c r="C15" s="10" t="s">
        <v>19</v>
      </c>
      <c r="D15" s="11" t="s">
        <v>40</v>
      </c>
      <c r="E15" s="86" t="s">
        <v>41</v>
      </c>
      <c r="F15" s="14" t="s">
        <v>27</v>
      </c>
      <c r="G15" s="12">
        <v>3500</v>
      </c>
      <c r="H15" s="12">
        <f t="shared" si="13"/>
        <v>3613</v>
      </c>
      <c r="I15" s="12">
        <f t="shared" si="14"/>
        <v>4713</v>
      </c>
      <c r="J15" s="12">
        <f t="shared" si="15"/>
        <v>5557</v>
      </c>
      <c r="K15" s="13">
        <f t="shared" si="3"/>
        <v>578.08</v>
      </c>
      <c r="L15" s="13">
        <f t="shared" si="4"/>
        <v>28.9</v>
      </c>
      <c r="M15" s="13">
        <f t="shared" si="5"/>
        <v>18.85</v>
      </c>
      <c r="N15" s="13">
        <f t="shared" si="6"/>
        <v>600.16</v>
      </c>
      <c r="O15" s="13"/>
      <c r="P15" s="13">
        <f t="shared" si="7"/>
        <v>1225.99</v>
      </c>
      <c r="Q15" s="13">
        <f t="shared" si="8"/>
        <v>289.04</v>
      </c>
      <c r="R15" s="13">
        <f t="shared" si="9"/>
        <v>114.14</v>
      </c>
      <c r="S15" s="13">
        <f t="shared" si="10"/>
        <v>0</v>
      </c>
      <c r="T15" s="13"/>
      <c r="U15" s="13">
        <f t="shared" si="11"/>
        <v>403.18</v>
      </c>
      <c r="V15" s="13">
        <f t="shared" si="12"/>
        <v>1629.17</v>
      </c>
    </row>
    <row r="16" s="23" customFormat="1" ht="13" hidden="1" spans="1:22">
      <c r="A16" s="10">
        <v>14</v>
      </c>
      <c r="B16" s="10" t="s">
        <v>124</v>
      </c>
      <c r="C16" s="10" t="s">
        <v>19</v>
      </c>
      <c r="D16" s="11" t="s">
        <v>125</v>
      </c>
      <c r="E16" s="11" t="s">
        <v>126</v>
      </c>
      <c r="F16" s="12" t="s">
        <v>64</v>
      </c>
      <c r="G16" s="12">
        <v>3500</v>
      </c>
      <c r="H16" s="12">
        <f t="shared" si="13"/>
        <v>3613</v>
      </c>
      <c r="I16" s="12">
        <f t="shared" si="14"/>
        <v>4713</v>
      </c>
      <c r="J16" s="12">
        <f t="shared" si="15"/>
        <v>5557</v>
      </c>
      <c r="K16" s="13">
        <f t="shared" si="3"/>
        <v>578.08</v>
      </c>
      <c r="L16" s="13">
        <f t="shared" si="4"/>
        <v>28.9</v>
      </c>
      <c r="M16" s="13">
        <f t="shared" si="5"/>
        <v>18.85</v>
      </c>
      <c r="N16" s="13">
        <f t="shared" si="6"/>
        <v>600.16</v>
      </c>
      <c r="O16" s="13"/>
      <c r="P16" s="13">
        <f t="shared" si="7"/>
        <v>1225.99</v>
      </c>
      <c r="Q16" s="13">
        <f t="shared" si="8"/>
        <v>289.04</v>
      </c>
      <c r="R16" s="13">
        <f t="shared" si="9"/>
        <v>114.14</v>
      </c>
      <c r="S16" s="13">
        <f t="shared" si="10"/>
        <v>7.23</v>
      </c>
      <c r="T16" s="13"/>
      <c r="U16" s="13">
        <f t="shared" si="11"/>
        <v>410.41</v>
      </c>
      <c r="V16" s="13">
        <f t="shared" si="12"/>
        <v>1636.4</v>
      </c>
    </row>
    <row r="17" s="23" customFormat="1" ht="13" hidden="1" spans="1:22">
      <c r="A17" s="10">
        <v>15</v>
      </c>
      <c r="B17" s="10" t="s">
        <v>124</v>
      </c>
      <c r="C17" s="10" t="s">
        <v>19</v>
      </c>
      <c r="D17" s="11" t="s">
        <v>42</v>
      </c>
      <c r="E17" s="11" t="s">
        <v>43</v>
      </c>
      <c r="F17" s="14" t="s">
        <v>27</v>
      </c>
      <c r="G17" s="12">
        <v>3500</v>
      </c>
      <c r="H17" s="12">
        <f t="shared" si="13"/>
        <v>3613</v>
      </c>
      <c r="I17" s="12">
        <f t="shared" si="14"/>
        <v>4713</v>
      </c>
      <c r="J17" s="12">
        <f t="shared" si="15"/>
        <v>5557</v>
      </c>
      <c r="K17" s="13">
        <f t="shared" si="3"/>
        <v>578.08</v>
      </c>
      <c r="L17" s="13">
        <f t="shared" si="4"/>
        <v>28.9</v>
      </c>
      <c r="M17" s="13">
        <f t="shared" si="5"/>
        <v>18.85</v>
      </c>
      <c r="N17" s="13">
        <f t="shared" si="6"/>
        <v>600.16</v>
      </c>
      <c r="O17" s="13"/>
      <c r="P17" s="13">
        <f t="shared" si="7"/>
        <v>1225.99</v>
      </c>
      <c r="Q17" s="13">
        <f t="shared" si="8"/>
        <v>289.04</v>
      </c>
      <c r="R17" s="13">
        <f t="shared" si="9"/>
        <v>114.14</v>
      </c>
      <c r="S17" s="13">
        <f t="shared" si="10"/>
        <v>0</v>
      </c>
      <c r="T17" s="13"/>
      <c r="U17" s="13">
        <f t="shared" si="11"/>
        <v>403.18</v>
      </c>
      <c r="V17" s="13">
        <f t="shared" si="12"/>
        <v>1629.17</v>
      </c>
    </row>
    <row r="18" s="23" customFormat="1" ht="13" hidden="1" spans="1:22">
      <c r="A18" s="10">
        <v>16</v>
      </c>
      <c r="B18" s="10" t="s">
        <v>119</v>
      </c>
      <c r="C18" s="10" t="s">
        <v>19</v>
      </c>
      <c r="D18" s="10" t="s">
        <v>127</v>
      </c>
      <c r="E18" s="85" t="s">
        <v>128</v>
      </c>
      <c r="F18" s="14" t="s">
        <v>27</v>
      </c>
      <c r="G18" s="12">
        <v>3500</v>
      </c>
      <c r="H18" s="12">
        <f t="shared" si="13"/>
        <v>3613</v>
      </c>
      <c r="I18" s="12">
        <f t="shared" si="14"/>
        <v>4713</v>
      </c>
      <c r="J18" s="12">
        <f t="shared" si="15"/>
        <v>5557</v>
      </c>
      <c r="K18" s="13">
        <f t="shared" si="3"/>
        <v>578.08</v>
      </c>
      <c r="L18" s="13">
        <f t="shared" si="4"/>
        <v>28.9</v>
      </c>
      <c r="M18" s="13">
        <f t="shared" si="5"/>
        <v>18.85</v>
      </c>
      <c r="N18" s="13">
        <f t="shared" si="6"/>
        <v>600.16</v>
      </c>
      <c r="O18" s="13"/>
      <c r="P18" s="13">
        <f t="shared" si="7"/>
        <v>1225.99</v>
      </c>
      <c r="Q18" s="13">
        <f t="shared" si="8"/>
        <v>289.04</v>
      </c>
      <c r="R18" s="13">
        <f t="shared" si="9"/>
        <v>114.14</v>
      </c>
      <c r="S18" s="13">
        <f t="shared" si="10"/>
        <v>0</v>
      </c>
      <c r="T18" s="13"/>
      <c r="U18" s="13">
        <f t="shared" si="11"/>
        <v>403.18</v>
      </c>
      <c r="V18" s="13">
        <f t="shared" si="12"/>
        <v>1629.17</v>
      </c>
    </row>
    <row r="19" s="23" customFormat="1" ht="13" hidden="1" spans="1:63">
      <c r="A19" s="10">
        <v>17</v>
      </c>
      <c r="B19" s="10" t="s">
        <v>119</v>
      </c>
      <c r="C19" s="10" t="s">
        <v>19</v>
      </c>
      <c r="D19" s="11" t="s">
        <v>129</v>
      </c>
      <c r="E19" s="11" t="s">
        <v>130</v>
      </c>
      <c r="F19" s="12" t="s">
        <v>27</v>
      </c>
      <c r="G19" s="12">
        <v>3500</v>
      </c>
      <c r="H19" s="12">
        <v>3613</v>
      </c>
      <c r="I19" s="12">
        <v>4713</v>
      </c>
      <c r="J19" s="12">
        <v>5557</v>
      </c>
      <c r="K19" s="13">
        <f t="shared" si="3"/>
        <v>578.08</v>
      </c>
      <c r="L19" s="13">
        <f t="shared" si="4"/>
        <v>28.9</v>
      </c>
      <c r="M19" s="13">
        <f t="shared" si="5"/>
        <v>18.85</v>
      </c>
      <c r="N19" s="13">
        <f t="shared" si="6"/>
        <v>600.16</v>
      </c>
      <c r="O19" s="13"/>
      <c r="P19" s="13">
        <f t="shared" si="7"/>
        <v>1225.99</v>
      </c>
      <c r="Q19" s="13">
        <f t="shared" si="8"/>
        <v>289.04</v>
      </c>
      <c r="R19" s="13">
        <f t="shared" si="9"/>
        <v>114.14</v>
      </c>
      <c r="S19" s="13">
        <f t="shared" si="10"/>
        <v>0</v>
      </c>
      <c r="T19" s="13"/>
      <c r="U19" s="13">
        <f t="shared" si="11"/>
        <v>403.18</v>
      </c>
      <c r="V19" s="13">
        <f t="shared" si="12"/>
        <v>1629.17</v>
      </c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="23" customFormat="1" ht="13" hidden="1" spans="1:63">
      <c r="A20" s="10">
        <v>18</v>
      </c>
      <c r="B20" s="10" t="s">
        <v>124</v>
      </c>
      <c r="C20" s="10" t="s">
        <v>19</v>
      </c>
      <c r="D20" s="11" t="s">
        <v>93</v>
      </c>
      <c r="E20" s="11" t="s">
        <v>94</v>
      </c>
      <c r="F20" s="12" t="s">
        <v>27</v>
      </c>
      <c r="G20" s="12">
        <v>3500</v>
      </c>
      <c r="H20" s="12">
        <v>3613</v>
      </c>
      <c r="I20" s="12">
        <v>4713</v>
      </c>
      <c r="J20" s="12">
        <v>5557</v>
      </c>
      <c r="K20" s="13">
        <f t="shared" si="3"/>
        <v>578.08</v>
      </c>
      <c r="L20" s="13">
        <f t="shared" si="4"/>
        <v>28.9</v>
      </c>
      <c r="M20" s="13">
        <f t="shared" si="5"/>
        <v>18.85</v>
      </c>
      <c r="N20" s="13">
        <f t="shared" si="6"/>
        <v>600.16</v>
      </c>
      <c r="O20" s="13"/>
      <c r="P20" s="13">
        <f t="shared" si="7"/>
        <v>1225.99</v>
      </c>
      <c r="Q20" s="13">
        <f t="shared" si="8"/>
        <v>289.04</v>
      </c>
      <c r="R20" s="13">
        <f t="shared" si="9"/>
        <v>114.14</v>
      </c>
      <c r="S20" s="13">
        <f t="shared" si="10"/>
        <v>0</v>
      </c>
      <c r="T20" s="13"/>
      <c r="U20" s="13">
        <f t="shared" si="11"/>
        <v>403.18</v>
      </c>
      <c r="V20" s="13">
        <f t="shared" si="12"/>
        <v>1629.17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="23" customFormat="1" ht="13" hidden="1" spans="1:63">
      <c r="A21" s="10">
        <v>19</v>
      </c>
      <c r="B21" s="10" t="s">
        <v>131</v>
      </c>
      <c r="C21" s="10" t="s">
        <v>19</v>
      </c>
      <c r="D21" s="11" t="s">
        <v>54</v>
      </c>
      <c r="E21" s="11" t="s">
        <v>55</v>
      </c>
      <c r="F21" s="12" t="s">
        <v>27</v>
      </c>
      <c r="G21" s="12">
        <v>3500</v>
      </c>
      <c r="H21" s="12">
        <v>3613</v>
      </c>
      <c r="I21" s="12">
        <v>4713</v>
      </c>
      <c r="J21" s="12">
        <v>5557</v>
      </c>
      <c r="K21" s="13">
        <f t="shared" si="3"/>
        <v>578.08</v>
      </c>
      <c r="L21" s="13">
        <f t="shared" si="4"/>
        <v>28.9</v>
      </c>
      <c r="M21" s="13">
        <f t="shared" si="5"/>
        <v>18.85</v>
      </c>
      <c r="N21" s="13">
        <f t="shared" si="6"/>
        <v>600.16</v>
      </c>
      <c r="O21" s="13"/>
      <c r="P21" s="13">
        <f t="shared" si="7"/>
        <v>1225.99</v>
      </c>
      <c r="Q21" s="13">
        <f t="shared" si="8"/>
        <v>289.04</v>
      </c>
      <c r="R21" s="13">
        <f t="shared" si="9"/>
        <v>114.14</v>
      </c>
      <c r="S21" s="13">
        <f t="shared" si="10"/>
        <v>0</v>
      </c>
      <c r="T21" s="13"/>
      <c r="U21" s="13">
        <f t="shared" si="11"/>
        <v>403.18</v>
      </c>
      <c r="V21" s="13">
        <f t="shared" si="12"/>
        <v>1629.17</v>
      </c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  <row r="22" s="23" customFormat="1" ht="13" hidden="1" spans="1:22">
      <c r="A22" s="10">
        <v>20</v>
      </c>
      <c r="B22" s="10" t="s">
        <v>115</v>
      </c>
      <c r="C22" s="10" t="s">
        <v>19</v>
      </c>
      <c r="D22" s="10" t="s">
        <v>44</v>
      </c>
      <c r="E22" s="85" t="s">
        <v>45</v>
      </c>
      <c r="F22" s="14" t="s">
        <v>27</v>
      </c>
      <c r="G22" s="12">
        <v>3000</v>
      </c>
      <c r="H22" s="12">
        <f t="shared" ref="H22:H31" si="16">IF(G22&lt;=3613,3613,IF(G22&lt;=23565,G22,23565))</f>
        <v>3613</v>
      </c>
      <c r="I22" s="12">
        <f t="shared" ref="I22:I31" si="17">IF(G22&lt;=4713,4713,IF(G22&lt;=23565,G22,23565))</f>
        <v>4713</v>
      </c>
      <c r="J22" s="12">
        <f t="shared" ref="J22:J31" si="18">IF(G22&lt;=5557,5557,IF(G22&lt;=27786,G22,27786))</f>
        <v>5557</v>
      </c>
      <c r="K22" s="13">
        <f t="shared" si="3"/>
        <v>578.08</v>
      </c>
      <c r="L22" s="13">
        <f t="shared" si="4"/>
        <v>28.9</v>
      </c>
      <c r="M22" s="13">
        <f t="shared" si="5"/>
        <v>18.85</v>
      </c>
      <c r="N22" s="13">
        <f t="shared" si="6"/>
        <v>600.16</v>
      </c>
      <c r="O22" s="13"/>
      <c r="P22" s="13">
        <f t="shared" si="7"/>
        <v>1225.99</v>
      </c>
      <c r="Q22" s="13">
        <f t="shared" si="8"/>
        <v>289.04</v>
      </c>
      <c r="R22" s="13">
        <f t="shared" si="9"/>
        <v>114.14</v>
      </c>
      <c r="S22" s="13">
        <f t="shared" si="10"/>
        <v>0</v>
      </c>
      <c r="T22" s="13"/>
      <c r="U22" s="13">
        <f t="shared" si="11"/>
        <v>403.18</v>
      </c>
      <c r="V22" s="13">
        <f t="shared" si="12"/>
        <v>1629.17</v>
      </c>
    </row>
    <row r="23" s="23" customFormat="1" ht="13" hidden="1" spans="1:22">
      <c r="A23" s="10">
        <v>21</v>
      </c>
      <c r="B23" s="10" t="s">
        <v>119</v>
      </c>
      <c r="C23" s="10" t="s">
        <v>19</v>
      </c>
      <c r="D23" s="10" t="s">
        <v>132</v>
      </c>
      <c r="E23" s="87" t="s">
        <v>133</v>
      </c>
      <c r="F23" s="14" t="s">
        <v>27</v>
      </c>
      <c r="G23" s="12">
        <v>3500</v>
      </c>
      <c r="H23" s="12">
        <v>3613</v>
      </c>
      <c r="I23" s="12">
        <v>4713</v>
      </c>
      <c r="J23" s="12">
        <v>5557</v>
      </c>
      <c r="K23" s="13">
        <f t="shared" si="3"/>
        <v>578.08</v>
      </c>
      <c r="L23" s="13">
        <f t="shared" si="4"/>
        <v>28.9</v>
      </c>
      <c r="M23" s="13">
        <f t="shared" si="5"/>
        <v>18.85</v>
      </c>
      <c r="N23" s="13">
        <f t="shared" si="6"/>
        <v>600.16</v>
      </c>
      <c r="O23" s="13"/>
      <c r="P23" s="13">
        <f t="shared" si="7"/>
        <v>1225.99</v>
      </c>
      <c r="Q23" s="13">
        <f t="shared" si="8"/>
        <v>289.04</v>
      </c>
      <c r="R23" s="13">
        <f t="shared" si="9"/>
        <v>114.14</v>
      </c>
      <c r="S23" s="13">
        <f t="shared" si="10"/>
        <v>0</v>
      </c>
      <c r="T23" s="13"/>
      <c r="U23" s="13">
        <f t="shared" si="11"/>
        <v>403.18</v>
      </c>
      <c r="V23" s="13">
        <f t="shared" si="12"/>
        <v>1629.17</v>
      </c>
    </row>
    <row r="24" s="23" customFormat="1" ht="13" hidden="1" spans="1:22">
      <c r="A24" s="10">
        <v>22</v>
      </c>
      <c r="B24" s="10" t="s">
        <v>116</v>
      </c>
      <c r="C24" s="10" t="s">
        <v>19</v>
      </c>
      <c r="D24" s="10" t="s">
        <v>134</v>
      </c>
      <c r="E24" s="87" t="s">
        <v>135</v>
      </c>
      <c r="F24" s="14" t="s">
        <v>27</v>
      </c>
      <c r="G24" s="12">
        <v>3500</v>
      </c>
      <c r="H24" s="12">
        <f t="shared" si="16"/>
        <v>3613</v>
      </c>
      <c r="I24" s="12">
        <f t="shared" si="17"/>
        <v>4713</v>
      </c>
      <c r="J24" s="12">
        <f t="shared" si="18"/>
        <v>5557</v>
      </c>
      <c r="K24" s="13">
        <f t="shared" si="3"/>
        <v>578.08</v>
      </c>
      <c r="L24" s="13">
        <f t="shared" si="4"/>
        <v>28.9</v>
      </c>
      <c r="M24" s="13">
        <f t="shared" si="5"/>
        <v>18.85</v>
      </c>
      <c r="N24" s="13">
        <f t="shared" si="6"/>
        <v>600.16</v>
      </c>
      <c r="O24" s="13"/>
      <c r="P24" s="13">
        <f t="shared" si="7"/>
        <v>1225.99</v>
      </c>
      <c r="Q24" s="13">
        <f t="shared" si="8"/>
        <v>289.04</v>
      </c>
      <c r="R24" s="13">
        <f t="shared" si="9"/>
        <v>114.14</v>
      </c>
      <c r="S24" s="13">
        <f t="shared" si="10"/>
        <v>0</v>
      </c>
      <c r="T24" s="13"/>
      <c r="U24" s="13">
        <f t="shared" si="11"/>
        <v>403.18</v>
      </c>
      <c r="V24" s="13">
        <f t="shared" si="12"/>
        <v>1629.17</v>
      </c>
    </row>
    <row r="25" s="23" customFormat="1" ht="13" hidden="1" spans="1:22">
      <c r="A25" s="10">
        <v>23</v>
      </c>
      <c r="B25" s="10" t="s">
        <v>136</v>
      </c>
      <c r="C25" s="10" t="s">
        <v>19</v>
      </c>
      <c r="D25" s="10" t="s">
        <v>69</v>
      </c>
      <c r="E25" s="85" t="s">
        <v>70</v>
      </c>
      <c r="F25" s="14" t="s">
        <v>22</v>
      </c>
      <c r="G25" s="12">
        <v>5000</v>
      </c>
      <c r="H25" s="12">
        <f t="shared" si="16"/>
        <v>5000</v>
      </c>
      <c r="I25" s="12">
        <f t="shared" si="17"/>
        <v>5000</v>
      </c>
      <c r="J25" s="12">
        <f t="shared" si="18"/>
        <v>5557</v>
      </c>
      <c r="K25" s="13">
        <f t="shared" si="3"/>
        <v>800</v>
      </c>
      <c r="L25" s="13">
        <f t="shared" si="4"/>
        <v>40</v>
      </c>
      <c r="M25" s="13">
        <f t="shared" si="5"/>
        <v>20</v>
      </c>
      <c r="N25" s="13">
        <f t="shared" si="6"/>
        <v>600.16</v>
      </c>
      <c r="O25" s="13"/>
      <c r="P25" s="13">
        <f t="shared" si="7"/>
        <v>1460.16</v>
      </c>
      <c r="Q25" s="13">
        <f t="shared" si="8"/>
        <v>400</v>
      </c>
      <c r="R25" s="13">
        <f t="shared" si="9"/>
        <v>114.14</v>
      </c>
      <c r="S25" s="13">
        <f t="shared" si="10"/>
        <v>10</v>
      </c>
      <c r="T25" s="13"/>
      <c r="U25" s="13">
        <f t="shared" si="11"/>
        <v>524.14</v>
      </c>
      <c r="V25" s="13">
        <f t="shared" si="12"/>
        <v>1984.3</v>
      </c>
    </row>
    <row r="26" s="23" customFormat="1" ht="13" hidden="1" spans="1:22">
      <c r="A26" s="10">
        <v>24</v>
      </c>
      <c r="B26" s="10" t="s">
        <v>119</v>
      </c>
      <c r="C26" s="10" t="s">
        <v>19</v>
      </c>
      <c r="D26" s="10" t="s">
        <v>46</v>
      </c>
      <c r="E26" s="87" t="s">
        <v>47</v>
      </c>
      <c r="F26" s="14" t="s">
        <v>27</v>
      </c>
      <c r="G26" s="12">
        <v>3500</v>
      </c>
      <c r="H26" s="12">
        <f t="shared" si="16"/>
        <v>3613</v>
      </c>
      <c r="I26" s="12">
        <f t="shared" si="17"/>
        <v>4713</v>
      </c>
      <c r="J26" s="12">
        <f t="shared" si="18"/>
        <v>5557</v>
      </c>
      <c r="K26" s="13">
        <f t="shared" si="3"/>
        <v>578.08</v>
      </c>
      <c r="L26" s="13">
        <f t="shared" si="4"/>
        <v>28.9</v>
      </c>
      <c r="M26" s="13">
        <f t="shared" si="5"/>
        <v>18.85</v>
      </c>
      <c r="N26" s="13">
        <f t="shared" si="6"/>
        <v>600.16</v>
      </c>
      <c r="O26" s="13"/>
      <c r="P26" s="13">
        <f t="shared" si="7"/>
        <v>1225.99</v>
      </c>
      <c r="Q26" s="13">
        <f t="shared" si="8"/>
        <v>289.04</v>
      </c>
      <c r="R26" s="13">
        <f t="shared" si="9"/>
        <v>114.14</v>
      </c>
      <c r="S26" s="13">
        <f t="shared" si="10"/>
        <v>0</v>
      </c>
      <c r="T26" s="13"/>
      <c r="U26" s="13">
        <f t="shared" si="11"/>
        <v>403.18</v>
      </c>
      <c r="V26" s="13">
        <f t="shared" si="12"/>
        <v>1629.17</v>
      </c>
    </row>
    <row r="27" s="23" customFormat="1" ht="13" hidden="1" spans="1:22">
      <c r="A27" s="10">
        <v>25</v>
      </c>
      <c r="B27" s="10" t="s">
        <v>113</v>
      </c>
      <c r="C27" s="10" t="s">
        <v>19</v>
      </c>
      <c r="D27" s="11" t="s">
        <v>137</v>
      </c>
      <c r="E27" s="11" t="s">
        <v>138</v>
      </c>
      <c r="F27" s="12" t="s">
        <v>22</v>
      </c>
      <c r="G27" s="12">
        <v>3500</v>
      </c>
      <c r="H27" s="12">
        <f t="shared" si="16"/>
        <v>3613</v>
      </c>
      <c r="I27" s="12">
        <f t="shared" si="17"/>
        <v>4713</v>
      </c>
      <c r="J27" s="12">
        <f t="shared" si="18"/>
        <v>5557</v>
      </c>
      <c r="K27" s="13">
        <f t="shared" si="3"/>
        <v>578.08</v>
      </c>
      <c r="L27" s="13">
        <f t="shared" si="4"/>
        <v>28.9</v>
      </c>
      <c r="M27" s="13">
        <f t="shared" si="5"/>
        <v>18.85</v>
      </c>
      <c r="N27" s="13">
        <f t="shared" si="6"/>
        <v>600.16</v>
      </c>
      <c r="O27" s="13"/>
      <c r="P27" s="13">
        <f t="shared" si="7"/>
        <v>1225.99</v>
      </c>
      <c r="Q27" s="13">
        <f t="shared" si="8"/>
        <v>289.04</v>
      </c>
      <c r="R27" s="13">
        <f t="shared" si="9"/>
        <v>114.14</v>
      </c>
      <c r="S27" s="13">
        <f t="shared" si="10"/>
        <v>7.23</v>
      </c>
      <c r="T27" s="13"/>
      <c r="U27" s="13">
        <f t="shared" si="11"/>
        <v>410.41</v>
      </c>
      <c r="V27" s="13">
        <f t="shared" si="12"/>
        <v>1636.4</v>
      </c>
    </row>
    <row r="28" s="23" customFormat="1" ht="13" hidden="1" spans="1:22">
      <c r="A28" s="10">
        <v>26</v>
      </c>
      <c r="B28" s="10" t="s">
        <v>118</v>
      </c>
      <c r="C28" s="10" t="s">
        <v>19</v>
      </c>
      <c r="D28" s="10" t="s">
        <v>48</v>
      </c>
      <c r="E28" s="11" t="s">
        <v>49</v>
      </c>
      <c r="F28" s="14" t="s">
        <v>27</v>
      </c>
      <c r="G28" s="12">
        <v>3500</v>
      </c>
      <c r="H28" s="12">
        <f t="shared" si="16"/>
        <v>3613</v>
      </c>
      <c r="I28" s="12">
        <f t="shared" si="17"/>
        <v>4713</v>
      </c>
      <c r="J28" s="12">
        <f t="shared" si="18"/>
        <v>5557</v>
      </c>
      <c r="K28" s="13">
        <f t="shared" si="3"/>
        <v>578.08</v>
      </c>
      <c r="L28" s="13">
        <f t="shared" si="4"/>
        <v>28.9</v>
      </c>
      <c r="M28" s="13">
        <f t="shared" si="5"/>
        <v>18.85</v>
      </c>
      <c r="N28" s="13">
        <f t="shared" si="6"/>
        <v>600.16</v>
      </c>
      <c r="O28" s="13"/>
      <c r="P28" s="13">
        <f t="shared" si="7"/>
        <v>1225.99</v>
      </c>
      <c r="Q28" s="13">
        <f t="shared" si="8"/>
        <v>289.04</v>
      </c>
      <c r="R28" s="13">
        <f t="shared" si="9"/>
        <v>114.14</v>
      </c>
      <c r="S28" s="13">
        <f t="shared" si="10"/>
        <v>0</v>
      </c>
      <c r="T28" s="13"/>
      <c r="U28" s="13">
        <f t="shared" si="11"/>
        <v>403.18</v>
      </c>
      <c r="V28" s="13">
        <f t="shared" si="12"/>
        <v>1629.17</v>
      </c>
    </row>
    <row r="29" s="23" customFormat="1" ht="13" hidden="1" spans="1:22">
      <c r="A29" s="10">
        <v>27</v>
      </c>
      <c r="B29" s="10" t="s">
        <v>114</v>
      </c>
      <c r="C29" s="10" t="s">
        <v>19</v>
      </c>
      <c r="D29" s="10" t="s">
        <v>87</v>
      </c>
      <c r="E29" s="85" t="s">
        <v>88</v>
      </c>
      <c r="F29" s="14" t="s">
        <v>27</v>
      </c>
      <c r="G29" s="12">
        <v>3500</v>
      </c>
      <c r="H29" s="12">
        <f t="shared" si="16"/>
        <v>3613</v>
      </c>
      <c r="I29" s="12">
        <f t="shared" si="17"/>
        <v>4713</v>
      </c>
      <c r="J29" s="12">
        <f t="shared" si="18"/>
        <v>5557</v>
      </c>
      <c r="K29" s="13">
        <f t="shared" si="3"/>
        <v>578.08</v>
      </c>
      <c r="L29" s="13">
        <f t="shared" si="4"/>
        <v>28.9</v>
      </c>
      <c r="M29" s="13">
        <f t="shared" si="5"/>
        <v>18.85</v>
      </c>
      <c r="N29" s="13">
        <f t="shared" si="6"/>
        <v>600.16</v>
      </c>
      <c r="O29" s="13"/>
      <c r="P29" s="13">
        <f t="shared" si="7"/>
        <v>1225.99</v>
      </c>
      <c r="Q29" s="13">
        <f t="shared" si="8"/>
        <v>289.04</v>
      </c>
      <c r="R29" s="13">
        <f t="shared" si="9"/>
        <v>114.14</v>
      </c>
      <c r="S29" s="13">
        <f t="shared" si="10"/>
        <v>0</v>
      </c>
      <c r="T29" s="13"/>
      <c r="U29" s="13">
        <f t="shared" si="11"/>
        <v>403.18</v>
      </c>
      <c r="V29" s="13">
        <f t="shared" si="12"/>
        <v>1629.17</v>
      </c>
    </row>
    <row r="30" s="23" customFormat="1" ht="13" hidden="1" spans="1:22">
      <c r="A30" s="10">
        <v>28</v>
      </c>
      <c r="B30" s="10" t="s">
        <v>113</v>
      </c>
      <c r="C30" s="10" t="s">
        <v>19</v>
      </c>
      <c r="D30" s="10" t="s">
        <v>50</v>
      </c>
      <c r="E30" s="11" t="s">
        <v>51</v>
      </c>
      <c r="F30" s="14" t="s">
        <v>27</v>
      </c>
      <c r="G30" s="12">
        <v>2200</v>
      </c>
      <c r="H30" s="12">
        <f t="shared" si="16"/>
        <v>3613</v>
      </c>
      <c r="I30" s="12">
        <f t="shared" si="17"/>
        <v>4713</v>
      </c>
      <c r="J30" s="12">
        <f t="shared" si="18"/>
        <v>5557</v>
      </c>
      <c r="K30" s="13">
        <f t="shared" si="3"/>
        <v>578.08</v>
      </c>
      <c r="L30" s="13">
        <f t="shared" si="4"/>
        <v>28.9</v>
      </c>
      <c r="M30" s="13">
        <f t="shared" si="5"/>
        <v>18.85</v>
      </c>
      <c r="N30" s="13">
        <f t="shared" si="6"/>
        <v>600.16</v>
      </c>
      <c r="O30" s="13"/>
      <c r="P30" s="13">
        <f t="shared" si="7"/>
        <v>1225.99</v>
      </c>
      <c r="Q30" s="13">
        <f t="shared" si="8"/>
        <v>289.04</v>
      </c>
      <c r="R30" s="13">
        <f t="shared" si="9"/>
        <v>114.14</v>
      </c>
      <c r="S30" s="13">
        <f t="shared" si="10"/>
        <v>0</v>
      </c>
      <c r="T30" s="13"/>
      <c r="U30" s="13">
        <f t="shared" si="11"/>
        <v>403.18</v>
      </c>
      <c r="V30" s="13">
        <f t="shared" si="12"/>
        <v>1629.17</v>
      </c>
    </row>
    <row r="31" s="23" customFormat="1" ht="13" hidden="1" spans="1:22">
      <c r="A31" s="10">
        <v>29</v>
      </c>
      <c r="B31" s="10" t="s">
        <v>136</v>
      </c>
      <c r="C31" s="10" t="s">
        <v>19</v>
      </c>
      <c r="D31" s="10" t="s">
        <v>71</v>
      </c>
      <c r="E31" s="11" t="s">
        <v>72</v>
      </c>
      <c r="F31" s="12" t="s">
        <v>64</v>
      </c>
      <c r="G31" s="12">
        <v>3500</v>
      </c>
      <c r="H31" s="12">
        <f t="shared" si="16"/>
        <v>3613</v>
      </c>
      <c r="I31" s="12">
        <f t="shared" si="17"/>
        <v>4713</v>
      </c>
      <c r="J31" s="12">
        <f t="shared" si="18"/>
        <v>5557</v>
      </c>
      <c r="K31" s="13">
        <f t="shared" si="3"/>
        <v>578.08</v>
      </c>
      <c r="L31" s="13">
        <f t="shared" si="4"/>
        <v>28.9</v>
      </c>
      <c r="M31" s="13">
        <f t="shared" si="5"/>
        <v>18.85</v>
      </c>
      <c r="N31" s="13">
        <f t="shared" si="6"/>
        <v>600.16</v>
      </c>
      <c r="O31" s="13"/>
      <c r="P31" s="13">
        <f t="shared" si="7"/>
        <v>1225.99</v>
      </c>
      <c r="Q31" s="13">
        <f t="shared" si="8"/>
        <v>289.04</v>
      </c>
      <c r="R31" s="13">
        <f t="shared" si="9"/>
        <v>114.14</v>
      </c>
      <c r="S31" s="13">
        <f t="shared" si="10"/>
        <v>7.23</v>
      </c>
      <c r="T31" s="13"/>
      <c r="U31" s="13">
        <f t="shared" si="11"/>
        <v>410.41</v>
      </c>
      <c r="V31" s="13">
        <f t="shared" si="12"/>
        <v>1636.4</v>
      </c>
    </row>
    <row r="32" s="23" customFormat="1" ht="13" hidden="1" spans="1:63">
      <c r="A32" s="10">
        <v>30</v>
      </c>
      <c r="B32" s="10" t="s">
        <v>116</v>
      </c>
      <c r="C32" s="10" t="s">
        <v>19</v>
      </c>
      <c r="D32" s="11" t="s">
        <v>139</v>
      </c>
      <c r="E32" s="88" t="s">
        <v>140</v>
      </c>
      <c r="F32" s="12" t="s">
        <v>27</v>
      </c>
      <c r="G32" s="12">
        <v>3000</v>
      </c>
      <c r="H32" s="12">
        <v>3613</v>
      </c>
      <c r="I32" s="12">
        <v>4713</v>
      </c>
      <c r="J32" s="12">
        <v>5557</v>
      </c>
      <c r="K32" s="13">
        <f t="shared" si="3"/>
        <v>578.08</v>
      </c>
      <c r="L32" s="13">
        <f t="shared" si="4"/>
        <v>28.9</v>
      </c>
      <c r="M32" s="13">
        <f t="shared" si="5"/>
        <v>18.85</v>
      </c>
      <c r="N32" s="13">
        <f t="shared" si="6"/>
        <v>600.16</v>
      </c>
      <c r="O32" s="13"/>
      <c r="P32" s="13">
        <f t="shared" si="7"/>
        <v>1225.99</v>
      </c>
      <c r="Q32" s="13">
        <f t="shared" si="8"/>
        <v>289.04</v>
      </c>
      <c r="R32" s="13">
        <f t="shared" si="9"/>
        <v>114.14</v>
      </c>
      <c r="S32" s="13">
        <f t="shared" si="10"/>
        <v>0</v>
      </c>
      <c r="T32" s="13"/>
      <c r="U32" s="13">
        <f t="shared" si="11"/>
        <v>403.18</v>
      </c>
      <c r="V32" s="13">
        <f t="shared" si="12"/>
        <v>1629.17</v>
      </c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="23" customFormat="1" ht="13" hidden="1" spans="1:63">
      <c r="A33" s="10">
        <v>31</v>
      </c>
      <c r="B33" s="10" t="s">
        <v>116</v>
      </c>
      <c r="C33" s="10" t="s">
        <v>19</v>
      </c>
      <c r="D33" s="11" t="s">
        <v>60</v>
      </c>
      <c r="E33" s="88" t="s">
        <v>61</v>
      </c>
      <c r="F33" s="12" t="s">
        <v>27</v>
      </c>
      <c r="G33" s="12">
        <v>3000</v>
      </c>
      <c r="H33" s="12">
        <v>3613</v>
      </c>
      <c r="I33" s="12">
        <v>4713</v>
      </c>
      <c r="J33" s="12">
        <v>5557</v>
      </c>
      <c r="K33" s="13">
        <f t="shared" si="3"/>
        <v>578.08</v>
      </c>
      <c r="L33" s="13">
        <f t="shared" si="4"/>
        <v>28.9</v>
      </c>
      <c r="M33" s="13">
        <f t="shared" si="5"/>
        <v>18.85</v>
      </c>
      <c r="N33" s="13">
        <f t="shared" si="6"/>
        <v>600.16</v>
      </c>
      <c r="O33" s="13"/>
      <c r="P33" s="13">
        <f t="shared" si="7"/>
        <v>1225.99</v>
      </c>
      <c r="Q33" s="13">
        <f t="shared" si="8"/>
        <v>289.04</v>
      </c>
      <c r="R33" s="13">
        <f t="shared" si="9"/>
        <v>114.14</v>
      </c>
      <c r="S33" s="13">
        <f t="shared" si="10"/>
        <v>0</v>
      </c>
      <c r="T33" s="13"/>
      <c r="U33" s="13">
        <f t="shared" si="11"/>
        <v>403.18</v>
      </c>
      <c r="V33" s="13">
        <f t="shared" si="12"/>
        <v>1629.17</v>
      </c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</row>
    <row r="34" s="23" customFormat="1" ht="13" hidden="1" spans="1:63">
      <c r="A34" s="10">
        <v>32</v>
      </c>
      <c r="B34" s="10" t="s">
        <v>124</v>
      </c>
      <c r="C34" s="10" t="s">
        <v>19</v>
      </c>
      <c r="D34" s="11" t="s">
        <v>141</v>
      </c>
      <c r="E34" s="88" t="s">
        <v>142</v>
      </c>
      <c r="F34" s="12" t="s">
        <v>27</v>
      </c>
      <c r="G34" s="12">
        <v>3000</v>
      </c>
      <c r="H34" s="12">
        <v>3613</v>
      </c>
      <c r="I34" s="12">
        <v>4713</v>
      </c>
      <c r="J34" s="12">
        <v>5557</v>
      </c>
      <c r="K34" s="13">
        <f t="shared" si="3"/>
        <v>578.08</v>
      </c>
      <c r="L34" s="13">
        <f t="shared" si="4"/>
        <v>28.9</v>
      </c>
      <c r="M34" s="13">
        <f t="shared" si="5"/>
        <v>18.85</v>
      </c>
      <c r="N34" s="13">
        <f t="shared" si="6"/>
        <v>600.16</v>
      </c>
      <c r="O34" s="13"/>
      <c r="P34" s="13">
        <f t="shared" si="7"/>
        <v>1225.99</v>
      </c>
      <c r="Q34" s="13">
        <f t="shared" si="8"/>
        <v>289.04</v>
      </c>
      <c r="R34" s="13">
        <f t="shared" si="9"/>
        <v>114.14</v>
      </c>
      <c r="S34" s="13">
        <f t="shared" si="10"/>
        <v>0</v>
      </c>
      <c r="T34" s="13"/>
      <c r="U34" s="13">
        <f t="shared" si="11"/>
        <v>403.18</v>
      </c>
      <c r="V34" s="13">
        <f t="shared" si="12"/>
        <v>1629.17</v>
      </c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  <row r="35" s="23" customFormat="1" ht="13" hidden="1" spans="1:22">
      <c r="A35" s="10">
        <v>33</v>
      </c>
      <c r="B35" s="10" t="s">
        <v>112</v>
      </c>
      <c r="C35" s="10" t="s">
        <v>19</v>
      </c>
      <c r="D35" s="10" t="s">
        <v>143</v>
      </c>
      <c r="E35" s="85" t="s">
        <v>144</v>
      </c>
      <c r="F35" s="14" t="s">
        <v>27</v>
      </c>
      <c r="G35" s="12">
        <v>3500</v>
      </c>
      <c r="H35" s="12">
        <f t="shared" ref="H35:H40" si="19">IF(G35&lt;=3613,3613,IF(G35&lt;=23565,G35,23565))</f>
        <v>3613</v>
      </c>
      <c r="I35" s="12">
        <f t="shared" ref="I35:I40" si="20">IF(G35&lt;=4713,4713,IF(G35&lt;=23565,G35,23565))</f>
        <v>4713</v>
      </c>
      <c r="J35" s="12">
        <f t="shared" ref="J35:J40" si="21">IF(G35&lt;=5557,5557,IF(G35&lt;=27786,G35,27786))</f>
        <v>5557</v>
      </c>
      <c r="K35" s="13">
        <f t="shared" si="3"/>
        <v>578.08</v>
      </c>
      <c r="L35" s="13">
        <f t="shared" si="4"/>
        <v>28.9</v>
      </c>
      <c r="M35" s="13">
        <f t="shared" si="5"/>
        <v>18.85</v>
      </c>
      <c r="N35" s="13">
        <f t="shared" si="6"/>
        <v>600.16</v>
      </c>
      <c r="O35" s="13"/>
      <c r="P35" s="13">
        <f t="shared" si="7"/>
        <v>1225.99</v>
      </c>
      <c r="Q35" s="13">
        <f t="shared" si="8"/>
        <v>289.04</v>
      </c>
      <c r="R35" s="13">
        <f t="shared" si="9"/>
        <v>114.14</v>
      </c>
      <c r="S35" s="13">
        <f t="shared" si="10"/>
        <v>0</v>
      </c>
      <c r="T35" s="13"/>
      <c r="U35" s="13">
        <f t="shared" si="11"/>
        <v>403.18</v>
      </c>
      <c r="V35" s="13">
        <f t="shared" si="12"/>
        <v>1629.17</v>
      </c>
    </row>
    <row r="36" s="23" customFormat="1" ht="13" hidden="1" spans="1:22">
      <c r="A36" s="10">
        <v>34</v>
      </c>
      <c r="B36" s="10" t="s">
        <v>145</v>
      </c>
      <c r="C36" s="10" t="s">
        <v>86</v>
      </c>
      <c r="D36" s="10" t="s">
        <v>67</v>
      </c>
      <c r="E36" s="14" t="s">
        <v>68</v>
      </c>
      <c r="F36" s="14" t="s">
        <v>27</v>
      </c>
      <c r="G36" s="12">
        <v>3500</v>
      </c>
      <c r="H36" s="12">
        <f t="shared" si="19"/>
        <v>3613</v>
      </c>
      <c r="I36" s="12">
        <f t="shared" si="20"/>
        <v>4713</v>
      </c>
      <c r="J36" s="12">
        <f t="shared" si="21"/>
        <v>5557</v>
      </c>
      <c r="K36" s="13">
        <f t="shared" si="3"/>
        <v>578.08</v>
      </c>
      <c r="L36" s="13">
        <f t="shared" si="4"/>
        <v>28.9</v>
      </c>
      <c r="M36" s="13">
        <f t="shared" si="5"/>
        <v>18.85</v>
      </c>
      <c r="N36" s="13">
        <f t="shared" si="6"/>
        <v>600.16</v>
      </c>
      <c r="O36" s="13"/>
      <c r="P36" s="13">
        <f t="shared" si="7"/>
        <v>1225.99</v>
      </c>
      <c r="Q36" s="13">
        <f t="shared" si="8"/>
        <v>289.04</v>
      </c>
      <c r="R36" s="13">
        <f t="shared" si="9"/>
        <v>114.14</v>
      </c>
      <c r="S36" s="13">
        <f t="shared" si="10"/>
        <v>0</v>
      </c>
      <c r="T36" s="13"/>
      <c r="U36" s="13">
        <f t="shared" si="11"/>
        <v>403.18</v>
      </c>
      <c r="V36" s="13">
        <f t="shared" si="12"/>
        <v>1629.17</v>
      </c>
    </row>
    <row r="37" s="23" customFormat="1" ht="13" hidden="1" spans="1:63">
      <c r="A37" s="10">
        <v>35</v>
      </c>
      <c r="B37" s="10" t="s">
        <v>119</v>
      </c>
      <c r="C37" s="10" t="s">
        <v>86</v>
      </c>
      <c r="D37" s="11" t="s">
        <v>146</v>
      </c>
      <c r="E37" s="11" t="s">
        <v>147</v>
      </c>
      <c r="F37" s="12" t="s">
        <v>27</v>
      </c>
      <c r="G37" s="12">
        <v>3500</v>
      </c>
      <c r="H37" s="12">
        <v>3613</v>
      </c>
      <c r="I37" s="12">
        <v>4713</v>
      </c>
      <c r="J37" s="12">
        <v>5557</v>
      </c>
      <c r="K37" s="13">
        <f t="shared" si="3"/>
        <v>578.08</v>
      </c>
      <c r="L37" s="13">
        <f t="shared" si="4"/>
        <v>28.9</v>
      </c>
      <c r="M37" s="13">
        <f t="shared" si="5"/>
        <v>18.85</v>
      </c>
      <c r="N37" s="13">
        <f t="shared" si="6"/>
        <v>600.16</v>
      </c>
      <c r="O37" s="13"/>
      <c r="P37" s="13">
        <f t="shared" si="7"/>
        <v>1225.99</v>
      </c>
      <c r="Q37" s="13">
        <f t="shared" si="8"/>
        <v>289.04</v>
      </c>
      <c r="R37" s="13">
        <f t="shared" si="9"/>
        <v>114.14</v>
      </c>
      <c r="S37" s="13">
        <f t="shared" si="10"/>
        <v>0</v>
      </c>
      <c r="T37" s="13"/>
      <c r="U37" s="13">
        <f t="shared" si="11"/>
        <v>403.18</v>
      </c>
      <c r="V37" s="13">
        <f t="shared" si="12"/>
        <v>1629.17</v>
      </c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</row>
    <row r="38" s="23" customFormat="1" ht="13" hidden="1" spans="1:22">
      <c r="A38" s="10">
        <v>36</v>
      </c>
      <c r="B38" s="10" t="s">
        <v>119</v>
      </c>
      <c r="C38" s="10" t="s">
        <v>86</v>
      </c>
      <c r="D38" s="10" t="s">
        <v>148</v>
      </c>
      <c r="E38" s="85" t="s">
        <v>149</v>
      </c>
      <c r="F38" s="14" t="s">
        <v>27</v>
      </c>
      <c r="G38" s="12">
        <v>3500</v>
      </c>
      <c r="H38" s="12">
        <f t="shared" si="19"/>
        <v>3613</v>
      </c>
      <c r="I38" s="12">
        <f t="shared" si="20"/>
        <v>4713</v>
      </c>
      <c r="J38" s="12">
        <f t="shared" si="21"/>
        <v>5557</v>
      </c>
      <c r="K38" s="13">
        <f t="shared" si="3"/>
        <v>578.08</v>
      </c>
      <c r="L38" s="13">
        <f t="shared" si="4"/>
        <v>28.9</v>
      </c>
      <c r="M38" s="13">
        <f t="shared" si="5"/>
        <v>18.85</v>
      </c>
      <c r="N38" s="13">
        <f t="shared" si="6"/>
        <v>600.16</v>
      </c>
      <c r="O38" s="13"/>
      <c r="P38" s="13">
        <f t="shared" si="7"/>
        <v>1225.99</v>
      </c>
      <c r="Q38" s="13">
        <f t="shared" si="8"/>
        <v>289.04</v>
      </c>
      <c r="R38" s="13">
        <f t="shared" si="9"/>
        <v>114.14</v>
      </c>
      <c r="S38" s="13">
        <f t="shared" si="10"/>
        <v>0</v>
      </c>
      <c r="T38" s="13"/>
      <c r="U38" s="13">
        <f t="shared" si="11"/>
        <v>403.18</v>
      </c>
      <c r="V38" s="13">
        <f t="shared" si="12"/>
        <v>1629.17</v>
      </c>
    </row>
    <row r="39" s="23" customFormat="1" ht="13" hidden="1" spans="1:22">
      <c r="A39" s="10">
        <v>37</v>
      </c>
      <c r="B39" s="10" t="s">
        <v>115</v>
      </c>
      <c r="C39" s="10" t="s">
        <v>89</v>
      </c>
      <c r="D39" s="10" t="s">
        <v>90</v>
      </c>
      <c r="E39" s="85" t="s">
        <v>91</v>
      </c>
      <c r="F39" s="14" t="s">
        <v>27</v>
      </c>
      <c r="G39" s="12">
        <v>6000</v>
      </c>
      <c r="H39" s="12">
        <f t="shared" si="19"/>
        <v>6000</v>
      </c>
      <c r="I39" s="12">
        <f t="shared" si="20"/>
        <v>6000</v>
      </c>
      <c r="J39" s="12">
        <f t="shared" si="21"/>
        <v>6000</v>
      </c>
      <c r="K39" s="13">
        <f t="shared" si="3"/>
        <v>960</v>
      </c>
      <c r="L39" s="13">
        <f t="shared" si="4"/>
        <v>48</v>
      </c>
      <c r="M39" s="13">
        <f t="shared" si="5"/>
        <v>24</v>
      </c>
      <c r="N39" s="13">
        <f t="shared" si="6"/>
        <v>648</v>
      </c>
      <c r="O39" s="13"/>
      <c r="P39" s="13">
        <f t="shared" si="7"/>
        <v>1680</v>
      </c>
      <c r="Q39" s="13">
        <f t="shared" si="8"/>
        <v>480</v>
      </c>
      <c r="R39" s="13">
        <f t="shared" si="9"/>
        <v>123</v>
      </c>
      <c r="S39" s="13">
        <f t="shared" si="10"/>
        <v>0</v>
      </c>
      <c r="T39" s="13"/>
      <c r="U39" s="13">
        <f t="shared" si="11"/>
        <v>603</v>
      </c>
      <c r="V39" s="13">
        <f t="shared" si="12"/>
        <v>2283</v>
      </c>
    </row>
    <row r="40" s="23" customFormat="1" ht="13" hidden="1" spans="1:22">
      <c r="A40" s="10">
        <v>38</v>
      </c>
      <c r="B40" s="10" t="s">
        <v>124</v>
      </c>
      <c r="C40" s="10" t="s">
        <v>92</v>
      </c>
      <c r="D40" s="10" t="s">
        <v>150</v>
      </c>
      <c r="E40" s="87" t="s">
        <v>151</v>
      </c>
      <c r="F40" s="14" t="s">
        <v>27</v>
      </c>
      <c r="G40" s="12">
        <v>3500</v>
      </c>
      <c r="H40" s="12">
        <f t="shared" si="19"/>
        <v>3613</v>
      </c>
      <c r="I40" s="12">
        <f t="shared" si="20"/>
        <v>4713</v>
      </c>
      <c r="J40" s="12">
        <f t="shared" si="21"/>
        <v>5557</v>
      </c>
      <c r="K40" s="13">
        <f t="shared" si="3"/>
        <v>578.08</v>
      </c>
      <c r="L40" s="13">
        <f t="shared" si="4"/>
        <v>28.9</v>
      </c>
      <c r="M40" s="13">
        <f t="shared" si="5"/>
        <v>18.85</v>
      </c>
      <c r="N40" s="13">
        <f t="shared" si="6"/>
        <v>600.16</v>
      </c>
      <c r="O40" s="13"/>
      <c r="P40" s="13">
        <f t="shared" si="7"/>
        <v>1225.99</v>
      </c>
      <c r="Q40" s="13">
        <f t="shared" si="8"/>
        <v>289.04</v>
      </c>
      <c r="R40" s="13">
        <f t="shared" si="9"/>
        <v>114.14</v>
      </c>
      <c r="S40" s="13">
        <f t="shared" si="10"/>
        <v>0</v>
      </c>
      <c r="T40" s="13"/>
      <c r="U40" s="13">
        <f t="shared" si="11"/>
        <v>403.18</v>
      </c>
      <c r="V40" s="13">
        <f t="shared" si="12"/>
        <v>1629.17</v>
      </c>
    </row>
    <row r="41" s="22" customFormat="1" ht="13" hidden="1" spans="14:22">
      <c r="N41" s="30"/>
      <c r="P41" s="30"/>
      <c r="U41" s="30"/>
      <c r="V41" s="30"/>
    </row>
    <row r="42" s="22" customFormat="1" ht="13" spans="14:22">
      <c r="N42" s="30"/>
      <c r="P42" s="30">
        <f>SUBTOTAL(9,P6:P41)</f>
        <v>2754.95</v>
      </c>
      <c r="Q42" s="22">
        <f t="shared" ref="Q42:V42" si="22">SUBTOTAL(9,Q6:Q41)</f>
        <v>721.04</v>
      </c>
      <c r="R42" s="22">
        <f t="shared" si="22"/>
        <v>228.28</v>
      </c>
      <c r="S42" s="22">
        <f t="shared" si="22"/>
        <v>0</v>
      </c>
      <c r="T42" s="22">
        <f t="shared" si="22"/>
        <v>0</v>
      </c>
      <c r="U42" s="30">
        <f t="shared" si="22"/>
        <v>949.32</v>
      </c>
      <c r="V42" s="30">
        <f t="shared" si="22"/>
        <v>3704.27</v>
      </c>
    </row>
    <row r="43" s="23" customFormat="1" ht="13" spans="1:63">
      <c r="A43" s="27"/>
      <c r="B43" s="27"/>
      <c r="C43" s="27"/>
      <c r="D43" s="28"/>
      <c r="E43" s="28"/>
      <c r="F43" s="29"/>
      <c r="G43" s="29"/>
      <c r="H43" s="29"/>
      <c r="I43" s="29"/>
      <c r="J43" s="29"/>
      <c r="K43" s="31"/>
      <c r="L43" s="31"/>
      <c r="M43" s="31"/>
      <c r="N43" s="32"/>
      <c r="O43" s="32"/>
      <c r="P43" s="32"/>
      <c r="Q43" s="32"/>
      <c r="R43" s="32"/>
      <c r="S43" s="32"/>
      <c r="T43" s="32"/>
      <c r="U43" s="32"/>
      <c r="V43" s="32"/>
      <c r="W43" s="34"/>
      <c r="X43" s="22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</row>
  </sheetData>
  <autoFilter ref="A1:V41">
    <filterColumn colId="1">
      <customFilters>
        <customFilter operator="equal" val="部门"/>
        <customFilter operator="equal" val="工程中心"/>
      </customFilters>
    </filterColumn>
    <extLst/>
  </autoFilter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1" sqref="B1:H6"/>
    </sheetView>
  </sheetViews>
  <sheetFormatPr defaultColWidth="8.66666666666667" defaultRowHeight="15" outlineLevelRow="5" outlineLevelCol="7"/>
  <sheetData>
    <row r="1" ht="26" spans="1:8">
      <c r="A1" s="15" t="s">
        <v>0</v>
      </c>
      <c r="B1" s="15" t="s">
        <v>106</v>
      </c>
      <c r="C1" s="15" t="s">
        <v>1</v>
      </c>
      <c r="D1" s="15" t="s">
        <v>2</v>
      </c>
      <c r="E1" s="15" t="s">
        <v>4</v>
      </c>
      <c r="F1" s="16" t="s">
        <v>108</v>
      </c>
      <c r="G1" s="16" t="s">
        <v>110</v>
      </c>
      <c r="H1" s="16" t="s">
        <v>111</v>
      </c>
    </row>
    <row r="2" spans="1:8">
      <c r="A2" s="17">
        <v>2</v>
      </c>
      <c r="B2" s="17" t="s">
        <v>113</v>
      </c>
      <c r="C2" s="17" t="s">
        <v>19</v>
      </c>
      <c r="D2" s="17" t="s">
        <v>23</v>
      </c>
      <c r="E2" s="18" t="s">
        <v>22</v>
      </c>
      <c r="F2" s="19">
        <v>1680</v>
      </c>
      <c r="G2" s="19">
        <v>615</v>
      </c>
      <c r="H2" s="19">
        <v>2295</v>
      </c>
    </row>
    <row r="3" spans="1:8">
      <c r="A3" s="17">
        <v>12</v>
      </c>
      <c r="B3" s="17" t="s">
        <v>113</v>
      </c>
      <c r="C3" s="17" t="s">
        <v>19</v>
      </c>
      <c r="D3" s="20" t="s">
        <v>38</v>
      </c>
      <c r="E3" s="18" t="s">
        <v>27</v>
      </c>
      <c r="F3" s="19">
        <v>1225.99</v>
      </c>
      <c r="G3" s="19">
        <v>403.18</v>
      </c>
      <c r="H3" s="19">
        <v>1629.17</v>
      </c>
    </row>
    <row r="4" spans="1:8">
      <c r="A4" s="17">
        <v>25</v>
      </c>
      <c r="B4" s="17" t="s">
        <v>113</v>
      </c>
      <c r="C4" s="17" t="s">
        <v>19</v>
      </c>
      <c r="D4" s="20" t="s">
        <v>137</v>
      </c>
      <c r="E4" s="21" t="s">
        <v>22</v>
      </c>
      <c r="F4" s="19">
        <v>1225.99</v>
      </c>
      <c r="G4" s="19">
        <v>410.41</v>
      </c>
      <c r="H4" s="19">
        <v>1636.4</v>
      </c>
    </row>
    <row r="5" spans="1:8">
      <c r="A5" s="17">
        <v>28</v>
      </c>
      <c r="B5" s="17" t="s">
        <v>113</v>
      </c>
      <c r="C5" s="17" t="s">
        <v>19</v>
      </c>
      <c r="D5" s="17" t="s">
        <v>50</v>
      </c>
      <c r="E5" s="18" t="s">
        <v>27</v>
      </c>
      <c r="F5" s="19">
        <v>1225.99</v>
      </c>
      <c r="G5" s="19">
        <v>403.18</v>
      </c>
      <c r="H5" s="19">
        <v>1629.17</v>
      </c>
    </row>
    <row r="6" spans="1:8">
      <c r="A6" s="1"/>
      <c r="B6" s="1"/>
      <c r="C6" s="1"/>
      <c r="D6" s="1"/>
      <c r="E6" s="1"/>
      <c r="F6" s="1">
        <f>SUM(F2:F5)</f>
        <v>5357.97</v>
      </c>
      <c r="G6" s="1">
        <f>SUM(G2:G5)</f>
        <v>1831.77</v>
      </c>
      <c r="H6" s="1">
        <f>SUM(H2:H5)</f>
        <v>7189.74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4" sqref="D14"/>
    </sheetView>
  </sheetViews>
  <sheetFormatPr defaultColWidth="8.66666666666667" defaultRowHeight="15" outlineLevelCol="6"/>
  <cols>
    <col min="7" max="7" width="9.41666666666667"/>
  </cols>
  <sheetData>
    <row r="1" ht="26" spans="1:7">
      <c r="A1" s="8" t="s">
        <v>106</v>
      </c>
      <c r="B1" s="8" t="s">
        <v>1</v>
      </c>
      <c r="C1" s="8" t="s">
        <v>2</v>
      </c>
      <c r="D1" s="8" t="s">
        <v>4</v>
      </c>
      <c r="E1" s="9" t="s">
        <v>108</v>
      </c>
      <c r="F1" s="9" t="s">
        <v>110</v>
      </c>
      <c r="G1" s="9" t="s">
        <v>111</v>
      </c>
    </row>
    <row r="2" spans="1:7">
      <c r="A2" s="10" t="s">
        <v>119</v>
      </c>
      <c r="B2" s="10" t="s">
        <v>19</v>
      </c>
      <c r="C2" s="11" t="s">
        <v>120</v>
      </c>
      <c r="D2" s="12" t="s">
        <v>27</v>
      </c>
      <c r="E2" s="13">
        <v>1225.99</v>
      </c>
      <c r="F2" s="13">
        <v>403.18</v>
      </c>
      <c r="G2" s="13">
        <v>1629.17</v>
      </c>
    </row>
    <row r="3" spans="1:7">
      <c r="A3" s="10" t="s">
        <v>119</v>
      </c>
      <c r="B3" s="10" t="s">
        <v>19</v>
      </c>
      <c r="C3" s="11" t="s">
        <v>122</v>
      </c>
      <c r="D3" s="12" t="s">
        <v>27</v>
      </c>
      <c r="E3" s="13">
        <v>1225.99</v>
      </c>
      <c r="F3" s="13">
        <v>403.18</v>
      </c>
      <c r="G3" s="13">
        <v>1629.17</v>
      </c>
    </row>
    <row r="4" spans="1:7">
      <c r="A4" s="10" t="s">
        <v>119</v>
      </c>
      <c r="B4" s="10" t="s">
        <v>19</v>
      </c>
      <c r="C4" s="10" t="s">
        <v>127</v>
      </c>
      <c r="D4" s="14" t="s">
        <v>27</v>
      </c>
      <c r="E4" s="13">
        <v>1225.99</v>
      </c>
      <c r="F4" s="13">
        <v>403.18</v>
      </c>
      <c r="G4" s="13">
        <v>1629.17</v>
      </c>
    </row>
    <row r="5" spans="1:7">
      <c r="A5" s="10" t="s">
        <v>119</v>
      </c>
      <c r="B5" s="10" t="s">
        <v>19</v>
      </c>
      <c r="C5" s="11" t="s">
        <v>129</v>
      </c>
      <c r="D5" s="12" t="s">
        <v>27</v>
      </c>
      <c r="E5" s="13">
        <v>1225.99</v>
      </c>
      <c r="F5" s="13">
        <v>403.18</v>
      </c>
      <c r="G5" s="13">
        <v>1629.17</v>
      </c>
    </row>
    <row r="6" spans="1:7">
      <c r="A6" s="10" t="s">
        <v>119</v>
      </c>
      <c r="B6" s="10" t="s">
        <v>19</v>
      </c>
      <c r="C6" s="10" t="s">
        <v>132</v>
      </c>
      <c r="D6" s="14" t="s">
        <v>27</v>
      </c>
      <c r="E6" s="13">
        <v>1225.99</v>
      </c>
      <c r="F6" s="13">
        <v>403.18</v>
      </c>
      <c r="G6" s="13">
        <v>1629.17</v>
      </c>
    </row>
    <row r="7" spans="1:7">
      <c r="A7" s="10" t="s">
        <v>119</v>
      </c>
      <c r="B7" s="10" t="s">
        <v>19</v>
      </c>
      <c r="C7" s="10" t="s">
        <v>46</v>
      </c>
      <c r="D7" s="14" t="s">
        <v>27</v>
      </c>
      <c r="E7" s="13">
        <v>1225.99</v>
      </c>
      <c r="F7" s="13">
        <v>403.18</v>
      </c>
      <c r="G7" s="13">
        <v>1629.17</v>
      </c>
    </row>
    <row r="8" spans="1:7">
      <c r="A8" s="10" t="s">
        <v>119</v>
      </c>
      <c r="B8" s="10" t="s">
        <v>86</v>
      </c>
      <c r="C8" s="11" t="s">
        <v>146</v>
      </c>
      <c r="D8" s="12" t="s">
        <v>27</v>
      </c>
      <c r="E8" s="13">
        <v>1225.99</v>
      </c>
      <c r="F8" s="13">
        <v>403.18</v>
      </c>
      <c r="G8" s="13">
        <v>1629.17</v>
      </c>
    </row>
    <row r="9" spans="1:7">
      <c r="A9" s="10" t="s">
        <v>119</v>
      </c>
      <c r="B9" s="10" t="s">
        <v>86</v>
      </c>
      <c r="C9" s="10" t="s">
        <v>148</v>
      </c>
      <c r="D9" s="14" t="s">
        <v>27</v>
      </c>
      <c r="E9" s="13">
        <v>1225.99</v>
      </c>
      <c r="F9" s="13">
        <v>403.18</v>
      </c>
      <c r="G9" s="13">
        <v>1629.17</v>
      </c>
    </row>
    <row r="10" spans="5:7">
      <c r="E10">
        <f>SUM(E2:E9)</f>
        <v>9807.92</v>
      </c>
      <c r="F10">
        <f>SUM(F2:F9)</f>
        <v>3225.44</v>
      </c>
      <c r="G10">
        <f>SUM(G2:G9)</f>
        <v>13033.36</v>
      </c>
    </row>
  </sheetData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H14" sqref="H14"/>
    </sheetView>
  </sheetViews>
  <sheetFormatPr defaultColWidth="8.66666666666667" defaultRowHeight="15" outlineLevelRow="4" outlineLevelCol="1"/>
  <cols>
    <col min="1" max="1" width="23.9166666666667" customWidth="1"/>
    <col min="2" max="2" width="10.5" customWidth="1"/>
  </cols>
  <sheetData>
    <row r="1" spans="1:2">
      <c r="A1" s="6" t="s">
        <v>152</v>
      </c>
      <c r="B1" s="7" t="s">
        <v>153</v>
      </c>
    </row>
    <row r="2" spans="1:2">
      <c r="A2" s="7" t="s">
        <v>154</v>
      </c>
      <c r="B2" s="7" t="s">
        <v>155</v>
      </c>
    </row>
    <row r="3" spans="1:2">
      <c r="A3" s="7" t="s">
        <v>156</v>
      </c>
      <c r="B3" s="7" t="s">
        <v>157</v>
      </c>
    </row>
    <row r="4" spans="1:2">
      <c r="A4" s="7" t="s">
        <v>158</v>
      </c>
      <c r="B4" s="7" t="s">
        <v>155</v>
      </c>
    </row>
    <row r="5" spans="1:2">
      <c r="A5" s="7" t="s">
        <v>159</v>
      </c>
      <c r="B5" s="7" t="s">
        <v>160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3" workbookViewId="0">
      <selection activeCell="I19" sqref="I19"/>
    </sheetView>
  </sheetViews>
  <sheetFormatPr defaultColWidth="8.66666666666667" defaultRowHeight="15" outlineLevelCol="2"/>
  <cols>
    <col min="1" max="1" width="3.75" style="1" customWidth="1"/>
    <col min="2" max="16384" width="8.66666666666667" style="1"/>
  </cols>
  <sheetData>
    <row r="1" spans="1:3">
      <c r="A1" s="2" t="s">
        <v>0</v>
      </c>
      <c r="B1" s="3" t="s">
        <v>1</v>
      </c>
      <c r="C1" s="3" t="s">
        <v>2</v>
      </c>
    </row>
    <row r="2" spans="1:3">
      <c r="A2" s="4">
        <v>1</v>
      </c>
      <c r="B2" s="4" t="s">
        <v>19</v>
      </c>
      <c r="C2" s="4" t="s">
        <v>20</v>
      </c>
    </row>
    <row r="3" spans="1:3">
      <c r="A3" s="4">
        <v>2</v>
      </c>
      <c r="B3" s="4" t="s">
        <v>19</v>
      </c>
      <c r="C3" s="4" t="s">
        <v>23</v>
      </c>
    </row>
    <row r="4" spans="1:3">
      <c r="A4" s="4">
        <v>3</v>
      </c>
      <c r="B4" s="4" t="s">
        <v>19</v>
      </c>
      <c r="C4" s="4" t="s">
        <v>25</v>
      </c>
    </row>
    <row r="5" spans="1:3">
      <c r="A5" s="4">
        <v>4</v>
      </c>
      <c r="B5" s="4" t="s">
        <v>19</v>
      </c>
      <c r="C5" s="4" t="s">
        <v>28</v>
      </c>
    </row>
    <row r="6" spans="1:3">
      <c r="A6" s="4">
        <v>5</v>
      </c>
      <c r="B6" s="4" t="s">
        <v>19</v>
      </c>
      <c r="C6" s="4" t="s">
        <v>30</v>
      </c>
    </row>
    <row r="7" spans="1:3">
      <c r="A7" s="4">
        <v>6</v>
      </c>
      <c r="B7" s="4" t="s">
        <v>19</v>
      </c>
      <c r="C7" s="4" t="s">
        <v>32</v>
      </c>
    </row>
    <row r="8" spans="1:3">
      <c r="A8" s="4">
        <v>7</v>
      </c>
      <c r="B8" s="4" t="s">
        <v>19</v>
      </c>
      <c r="C8" s="4" t="s">
        <v>34</v>
      </c>
    </row>
    <row r="9" spans="1:3">
      <c r="A9" s="4">
        <v>8</v>
      </c>
      <c r="B9" s="4" t="s">
        <v>19</v>
      </c>
      <c r="C9" s="4" t="s">
        <v>36</v>
      </c>
    </row>
    <row r="10" spans="1:3">
      <c r="A10" s="4">
        <v>9</v>
      </c>
      <c r="B10" s="4" t="s">
        <v>19</v>
      </c>
      <c r="C10" s="4" t="s">
        <v>38</v>
      </c>
    </row>
    <row r="11" spans="1:3">
      <c r="A11" s="4">
        <v>10</v>
      </c>
      <c r="B11" s="4" t="s">
        <v>19</v>
      </c>
      <c r="C11" s="4" t="s">
        <v>40</v>
      </c>
    </row>
    <row r="12" spans="1:3">
      <c r="A12" s="4">
        <v>11</v>
      </c>
      <c r="B12" s="4" t="s">
        <v>19</v>
      </c>
      <c r="C12" s="4" t="s">
        <v>42</v>
      </c>
    </row>
    <row r="13" spans="1:3">
      <c r="A13" s="4">
        <v>12</v>
      </c>
      <c r="B13" s="4" t="s">
        <v>19</v>
      </c>
      <c r="C13" s="4" t="s">
        <v>44</v>
      </c>
    </row>
    <row r="14" spans="1:3">
      <c r="A14" s="4">
        <v>13</v>
      </c>
      <c r="B14" s="4" t="s">
        <v>19</v>
      </c>
      <c r="C14" s="4" t="s">
        <v>46</v>
      </c>
    </row>
    <row r="15" spans="1:3">
      <c r="A15" s="4">
        <v>14</v>
      </c>
      <c r="B15" s="4" t="s">
        <v>19</v>
      </c>
      <c r="C15" s="4" t="s">
        <v>48</v>
      </c>
    </row>
    <row r="16" spans="1:3">
      <c r="A16" s="4">
        <v>15</v>
      </c>
      <c r="B16" s="4" t="s">
        <v>19</v>
      </c>
      <c r="C16" s="4" t="s">
        <v>52</v>
      </c>
    </row>
    <row r="17" spans="1:3">
      <c r="A17" s="4">
        <v>16</v>
      </c>
      <c r="B17" s="4" t="s">
        <v>19</v>
      </c>
      <c r="C17" s="4" t="s">
        <v>54</v>
      </c>
    </row>
    <row r="18" spans="1:3">
      <c r="A18" s="4">
        <v>17</v>
      </c>
      <c r="B18" s="4" t="s">
        <v>19</v>
      </c>
      <c r="C18" s="4" t="s">
        <v>56</v>
      </c>
    </row>
    <row r="19" spans="1:3">
      <c r="A19" s="4">
        <v>18</v>
      </c>
      <c r="B19" s="4" t="s">
        <v>19</v>
      </c>
      <c r="C19" s="4" t="s">
        <v>58</v>
      </c>
    </row>
    <row r="20" spans="1:3">
      <c r="A20" s="4">
        <v>19</v>
      </c>
      <c r="B20" s="4" t="s">
        <v>19</v>
      </c>
      <c r="C20" s="4" t="s">
        <v>60</v>
      </c>
    </row>
    <row r="21" spans="1:3">
      <c r="A21" s="4">
        <v>20</v>
      </c>
      <c r="B21" s="4" t="s">
        <v>19</v>
      </c>
      <c r="C21" s="4" t="s">
        <v>62</v>
      </c>
    </row>
    <row r="22" spans="1:3">
      <c r="A22" s="4">
        <v>21</v>
      </c>
      <c r="B22" s="4" t="s">
        <v>19</v>
      </c>
      <c r="C22" s="4" t="s">
        <v>65</v>
      </c>
    </row>
    <row r="23" spans="1:3">
      <c r="A23" s="4">
        <v>22</v>
      </c>
      <c r="B23" s="4" t="s">
        <v>19</v>
      </c>
      <c r="C23" s="4" t="s">
        <v>67</v>
      </c>
    </row>
    <row r="24" spans="1:3">
      <c r="A24" s="4">
        <v>23</v>
      </c>
      <c r="B24" s="4" t="s">
        <v>19</v>
      </c>
      <c r="C24" s="4" t="s">
        <v>69</v>
      </c>
    </row>
    <row r="25" spans="1:3">
      <c r="A25" s="4">
        <v>24</v>
      </c>
      <c r="B25" s="4" t="s">
        <v>19</v>
      </c>
      <c r="C25" s="4" t="s">
        <v>71</v>
      </c>
    </row>
    <row r="26" spans="1:3">
      <c r="A26" s="4">
        <v>25</v>
      </c>
      <c r="B26" s="4" t="s">
        <v>19</v>
      </c>
      <c r="C26" s="5" t="s">
        <v>73</v>
      </c>
    </row>
    <row r="27" spans="1:3">
      <c r="A27" s="4">
        <v>26</v>
      </c>
      <c r="B27" s="4" t="s">
        <v>19</v>
      </c>
      <c r="C27" s="5" t="s">
        <v>82</v>
      </c>
    </row>
    <row r="28" spans="1:3">
      <c r="A28" s="4">
        <v>27</v>
      </c>
      <c r="B28" s="4" t="s">
        <v>19</v>
      </c>
      <c r="C28" s="5" t="s">
        <v>76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社保</vt:lpstr>
      <vt:lpstr>公积金</vt:lpstr>
      <vt:lpstr>1月部门预算</vt:lpstr>
      <vt:lpstr>财务</vt:lpstr>
      <vt:lpstr>国贸</vt:lpstr>
      <vt:lpstr>对应银行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孙方涛</cp:lastModifiedBy>
  <dcterms:created xsi:type="dcterms:W3CDTF">1996-12-17T01:32:00Z</dcterms:created>
  <cp:lastPrinted>2015-07-23T04:35:00Z</cp:lastPrinted>
  <dcterms:modified xsi:type="dcterms:W3CDTF">2021-08-13T08:28:16Z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E60D41C0B453428EAF71773BA7A0CE72</vt:lpwstr>
  </property>
</Properties>
</file>