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40" firstSheet="1" activeTab="1"/>
  </bookViews>
  <sheets>
    <sheet name="客服部最终提成计算表" sheetId="1" state="hidden" r:id="rId1"/>
    <sheet name="18年合同登记表" sheetId="3" r:id="rId2"/>
    <sheet name="月度提成计提表" sheetId="4" state="hidden" r:id="rId3"/>
    <sheet name="客户单位回访登记表" sheetId="7" r:id="rId4"/>
    <sheet name="17年合同登记表" sheetId="8" r:id="rId5"/>
    <sheet name="17年工程合同登记表" sheetId="9" r:id="rId6"/>
    <sheet name="客户分类" sheetId="10" r:id="rId7"/>
  </sheets>
  <externalReferences>
    <externalReference r:id="rId8"/>
  </externalReferences>
  <definedNames>
    <definedName name="_xlnm._FilterDatabase" localSheetId="0" hidden="1">客服部最终提成计算表!$A$1:$AQ$144</definedName>
    <definedName name="_xlnm._FilterDatabase" localSheetId="1" hidden="1">'18年合同登记表'!$A$5:$BQ$183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a</author>
  </authors>
  <commentList>
    <comment ref="N4" authorId="0">
      <text>
        <r>
          <rPr>
            <b/>
            <sz val="9"/>
            <rFont val="宋体"/>
            <scheme val="minor"/>
            <charset val="0"/>
          </rPr>
          <t>Administrator:</t>
        </r>
        <r>
          <rPr>
            <sz val="9"/>
            <rFont val="宋体"/>
            <scheme val="minor"/>
            <charset val="0"/>
          </rPr>
          <t xml:space="preserve">
备注合同约定每一笔开票及付款时间</t>
        </r>
      </text>
    </comment>
    <comment ref="T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2018.1.24</t>
        </r>
      </text>
    </comment>
    <comment ref="AR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2020.1.2回款</t>
        </r>
      </text>
    </comment>
    <comment ref="Z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4月12号已微信转账给徐总</t>
        </r>
      </text>
    </comment>
    <comment ref="M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原合同199000，由于税率下调，改为192196.58</t>
        </r>
      </text>
    </comment>
    <comment ref="M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报价金额37000，甲方说捡漏没检好，扣掉了6000捡漏费</t>
        </r>
      </text>
    </comment>
    <comment ref="E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冷却塔清洗，军团菌检测，风道检测加清洗，风机盘管清洗维保，吊顶式组合空调箱年度维保，活塞机年度维保
</t>
        </r>
      </text>
    </comment>
    <comment ref="M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合同签订279000，审计最终结果为252746.55元</t>
        </r>
      </text>
    </comment>
    <comment ref="M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机组未到期就拆了，尾款不给了</t>
        </r>
      </text>
    </comment>
    <comment ref="E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海育大厦;7745
香岩寺：7300</t>
        </r>
      </text>
    </comment>
    <comment ref="T85" authorId="1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2021年7月</t>
        </r>
      </text>
    </comment>
    <comment ref="AO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2020.11月开票</t>
        </r>
      </text>
    </comment>
    <comment ref="AP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2020.11.24回款</t>
        </r>
      </text>
    </comment>
    <comment ref="M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质保两年，验收是2019.1月份</t>
        </r>
      </text>
    </comment>
    <comment ref="AS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2020.10.23开票</t>
        </r>
      </text>
    </comment>
    <comment ref="AT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2020.11月回款</t>
        </r>
      </text>
    </comment>
    <comment ref="BD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2020.1.3</t>
        </r>
      </text>
    </comment>
    <comment ref="AG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2020.5.9开票</t>
        </r>
      </text>
    </comment>
    <comment ref="AJ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2020/12/10支票（35500）</t>
        </r>
      </text>
    </comment>
    <comment ref="BM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2020年8月开票</t>
        </r>
      </text>
    </comment>
    <comment ref="BN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2020/8/20回款</t>
        </r>
      </text>
    </comment>
    <comment ref="T129" authorId="1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2021年7月26日</t>
        </r>
      </text>
    </comment>
    <comment ref="AN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2021/4/9</t>
        </r>
      </text>
    </comment>
    <comment ref="BN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2020.1.9回款</t>
        </r>
      </text>
    </comment>
    <comment ref="BN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2020.1.9回款</t>
        </r>
      </text>
    </comment>
    <comment ref="BN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2020.1.3日回款</t>
        </r>
      </text>
    </comment>
    <comment ref="AO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2020/10月开票</t>
        </r>
      </text>
    </comment>
    <comment ref="AP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2020/11月回款</t>
        </r>
      </text>
    </comment>
    <comment ref="I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收不回来了，使用方说我们没修好，最后厂家给修好的</t>
        </r>
      </text>
    </comment>
    <comment ref="E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从11月份开始接的维保</t>
        </r>
      </text>
    </comment>
    <comment ref="BN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2021/4/8</t>
        </r>
      </text>
    </comment>
    <comment ref="BN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2021/4/8</t>
        </r>
      </text>
    </comment>
    <comment ref="T165" authorId="1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2021.8.23回款</t>
        </r>
      </text>
    </comment>
    <comment ref="BM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2020.5.18日开票</t>
        </r>
      </text>
    </comment>
    <comment ref="BN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2021/2/19回款</t>
        </r>
      </text>
    </comment>
    <comment ref="BN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2020/7/27</t>
        </r>
      </text>
    </comment>
    <comment ref="BN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2020.6.3日回款</t>
        </r>
      </text>
    </comment>
    <comment ref="AW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2020/10月开票</t>
        </r>
      </text>
    </comment>
    <comment ref="AX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2020/11月回款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两台开利直燃机</t>
        </r>
      </text>
    </comment>
    <comment ref="F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维保真空锅炉、冷却塔
全年12个月使用</t>
        </r>
      </text>
    </comment>
    <comment ref="G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双良直燃机
</t>
        </r>
      </text>
    </comment>
    <comment ref="H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大连三洋蒸汽型溴化锂</t>
        </r>
      </text>
    </commen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二台（1#和3#）大连三洋溴化锂直燃机</t>
        </r>
      </text>
    </comment>
    <comment ref="J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三洋浙江力聚真空锅炉</t>
        </r>
      </text>
    </comment>
    <comment ref="K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两台开利溴化锂直燃机年度维保及冷冻水、冷媒水处理</t>
        </r>
      </text>
    </comment>
    <comment ref="L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一台同方川崎直燃机</t>
        </r>
      </text>
    </comment>
    <comment ref="M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同方川崎直燃机</t>
        </r>
      </text>
    </comment>
    <comment ref="N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同方川崎直燃机</t>
        </r>
      </text>
    </comment>
    <comment ref="O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两台特迈斯直燃机</t>
        </r>
      </text>
    </comment>
    <comment ref="P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一台荏原直燃机</t>
        </r>
      </text>
    </comment>
    <comment ref="Q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两台三洋直燃机</t>
        </r>
      </text>
    </comment>
    <comment ref="R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两台三菱直燃机</t>
        </r>
      </text>
    </comment>
    <comment ref="S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一台双良直燃机</t>
        </r>
      </text>
    </comment>
    <comment ref="T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两台开利直燃机</t>
        </r>
      </text>
    </comment>
    <comment ref="U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两台三洋直燃机</t>
        </r>
      </text>
    </comment>
    <comment ref="V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一台LG直燃机</t>
        </r>
      </text>
    </comment>
    <comment ref="W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两台希望深蓝蒸汽型</t>
        </r>
      </text>
    </comment>
    <comment ref="X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两台三洋蒸汽型</t>
        </r>
      </text>
    </comment>
    <comment ref="Y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1、两台双良直燃机年度维保技术服务；
2、一台双良热水锅炉年度维保技术服务；
3、2台冷却塔维保技术服务；
4、2台冷冻水泵（不包含现有的2台冷却水泵年度维保）年度维保技术服务
5、2台大厅采暖锅炉年度维保技术服务</t>
        </r>
      </text>
    </comment>
    <comment ref="Z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两台富士特真空锅炉</t>
        </r>
      </text>
    </comment>
    <comment ref="A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两台远大直燃机
三台热水锅炉</t>
        </r>
      </text>
    </comment>
    <comment ref="A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3台双良SXZ4-523(23/16)(32/40)H2M2型制冷机组，1台荏原RGW058FG蒸汽型机组，1台荏原RFHN100Y热水型机组，共计5台机组开机前铜管清洗及为期1年保养维护；</t>
        </r>
      </text>
    </comment>
    <comment ref="AC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两台三洋的直燃机</t>
        </r>
      </text>
    </comment>
    <comment ref="A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两台LG直燃机</t>
        </r>
      </text>
    </comment>
    <comment ref="AE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三台三洋直燃机</t>
        </r>
      </text>
    </comment>
    <comment ref="AF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1. 三台三洋热水锅炉年度维保
 2. 二台三洋直燃机年度维保</t>
        </r>
      </text>
    </comment>
    <comment ref="AG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一台开利直燃机</t>
        </r>
      </text>
    </comment>
    <comment ref="AH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远大直燃机</t>
        </r>
      </text>
    </comment>
    <comment ref="AJ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AK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同方川崎直燃机一台</t>
        </r>
      </text>
    </comment>
    <comment ref="AL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双良吸收式热泵1台，
双良锅炉3台</t>
        </r>
      </text>
    </comment>
    <comment ref="AQ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同方川崎直燃机2台</t>
        </r>
      </text>
    </comment>
    <comment ref="AR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2台远大直燃机</t>
        </r>
      </text>
    </comment>
    <comment ref="AS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2台同方川崎直燃机</t>
        </r>
      </text>
    </comment>
    <comment ref="AU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AX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两台螺杆机</t>
        </r>
      </text>
    </comment>
    <comment ref="AY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3台特灵螺杆机，2台复盛空压机，3台闭式冷却塔</t>
        </r>
      </text>
    </comment>
    <comment ref="AZ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两台开利螺杆机</t>
        </r>
      </text>
    </comment>
    <comment ref="B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麦克维尔离心机3台</t>
        </r>
      </text>
    </comment>
    <comment ref="B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开利螺杆机两台，冷却塔2组，空调水泵4台</t>
        </r>
      </text>
    </comment>
    <comment ref="BC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水源热泵螺杆机2台，2台热水锅炉</t>
        </r>
      </text>
    </comment>
    <comment ref="B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开利螺杆机两台，斯频德冷却塔1台</t>
        </r>
      </text>
    </comment>
    <comment ref="BE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麦克维尔离心机4台，麦克维尔螺杆机2台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O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2017.2.28</t>
        </r>
      </text>
    </comment>
    <comment ref="P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2017.2.9</t>
        </r>
      </text>
    </comment>
    <comment ref="T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2018.4.24已回款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17年做了直燃机低氮改造，18年维保费包含了，不给了</t>
        </r>
      </text>
    </comment>
    <comment ref="O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2017.4.14
龙天陆投资回款</t>
        </r>
      </text>
    </comment>
    <comment ref="P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2017.3.8</t>
        </r>
      </text>
    </comment>
    <comment ref="T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2017.7.6</t>
        </r>
      </text>
    </comment>
    <comment ref="U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2017.6.21</t>
        </r>
      </text>
    </comment>
    <comment ref="Y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2017.10.13</t>
        </r>
      </text>
    </comment>
    <comment ref="Z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2017.9.20
17年直燃机维保第三季度</t>
        </r>
      </text>
    </comment>
    <comment ref="A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2018.1.9</t>
        </r>
      </text>
    </comment>
    <comment ref="AE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2017.12.6</t>
        </r>
      </text>
    </comment>
    <comment ref="O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2017.6.16
8500（16年尾款）+8500（17年首款）</t>
        </r>
      </text>
    </comment>
    <comment ref="P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2017.2.9  8500
2017.2.13  -8500
2017.5.16  8500</t>
        </r>
      </text>
    </comment>
    <comment ref="T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2017.12.30</t>
        </r>
      </text>
    </comment>
    <comment ref="U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2017.12.7</t>
        </r>
      </text>
    </comment>
    <comment ref="A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2017.1.26  15000
2017.2.24   12000</t>
        </r>
      </text>
    </comment>
    <comment ref="P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2017.1.10</t>
        </r>
      </text>
    </comment>
    <comment ref="T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2017.2.24</t>
        </r>
      </text>
    </comment>
    <comment ref="Y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2017.12.14</t>
        </r>
      </text>
    </comment>
    <comment ref="A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2017.8.9 30000
2017.11.21 200000（汇票20万，贴现后195800）</t>
        </r>
      </text>
    </comment>
    <comment ref="P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2017.7.19</t>
        </r>
      </text>
    </comment>
    <comment ref="A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2017.4.11
2018年收到111000元</t>
        </r>
      </text>
    </comment>
    <comment ref="A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2017.3.7</t>
        </r>
      </text>
    </comment>
    <comment ref="P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2017.2.9
16年尾款+17年首款</t>
        </r>
      </text>
    </comment>
    <comment ref="C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还欠12500</t>
        </r>
      </text>
    </comment>
    <comment ref="O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2017.3.22</t>
        </r>
      </text>
    </comment>
    <comment ref="P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2017.3.20</t>
        </r>
      </text>
    </comment>
    <comment ref="T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2018年4月份回款</t>
        </r>
      </text>
    </comment>
    <comment ref="C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欠款272649.57，已开票</t>
        </r>
      </text>
    </comment>
    <comment ref="I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开票金额272649.57</t>
        </r>
      </text>
    </comment>
    <comment ref="Q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2019/9/16</t>
        </r>
      </text>
    </comment>
    <comment ref="O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2017.6.23</t>
        </r>
      </text>
    </comment>
    <comment ref="P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2017.4.19</t>
        </r>
      </text>
    </comment>
    <comment ref="O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2017.9.19</t>
        </r>
      </text>
    </comment>
    <comment ref="P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2017.9.7
17年中央空调维保50%
34800</t>
        </r>
      </text>
    </comment>
    <comment ref="T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2018.3.7日拿回支票</t>
        </r>
      </text>
    </comment>
    <comment ref="O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2017.9.1
共回款104067</t>
        </r>
      </text>
    </comment>
    <comment ref="P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2017.8.4</t>
        </r>
      </text>
    </comment>
    <comment ref="T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2018.6.12日回款</t>
        </r>
      </text>
    </comment>
    <comment ref="A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2017.4.27</t>
        </r>
      </text>
    </comment>
    <comment ref="P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2017.4.14</t>
        </r>
      </text>
    </comment>
    <comment ref="T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2017.6.14</t>
        </r>
      </text>
    </comment>
    <comment ref="U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2017.5.25</t>
        </r>
      </text>
    </comment>
    <comment ref="Y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2018.5.3</t>
        </r>
      </text>
    </comment>
    <comment ref="A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2017.6.6</t>
        </r>
      </text>
    </comment>
    <comment ref="P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2017.4.14</t>
        </r>
      </text>
    </comment>
    <comment ref="T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2017.10.13</t>
        </r>
      </text>
    </comment>
    <comment ref="U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217.8.28</t>
        </r>
      </text>
    </comment>
    <comment ref="A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2017.4.20</t>
        </r>
      </text>
    </comment>
    <comment ref="P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2017.4.11</t>
        </r>
      </text>
    </comment>
    <comment ref="T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2017.9.20
</t>
        </r>
      </text>
    </comment>
    <comment ref="U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2017.9.8
20170401-20170930中央空调年度维保尾款50%</t>
        </r>
      </text>
    </comment>
    <comment ref="C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还欠134790，催款</t>
        </r>
      </text>
    </comment>
    <comment ref="O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2017.4.26</t>
        </r>
      </text>
    </comment>
    <comment ref="A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</t>
        </r>
      </text>
    </comment>
    <comment ref="P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2017.6.16</t>
        </r>
      </text>
    </comment>
    <comment ref="T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2017.11.16</t>
        </r>
      </text>
    </comment>
    <comment ref="U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2017.10.12
16年溴化锂制冷机维保尾款10%</t>
        </r>
      </text>
    </comment>
    <comment ref="O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2017.8.29与四惠大厦项目一起回款51000</t>
        </r>
      </text>
    </comment>
    <comment ref="P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2017.8.25</t>
        </r>
      </text>
    </comment>
    <comment ref="A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2017.9.5</t>
        </r>
      </text>
    </comment>
    <comment ref="P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2017.7.20</t>
        </r>
      </text>
    </comment>
    <comment ref="A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2017.8.24</t>
        </r>
      </text>
    </comment>
    <comment ref="P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2017.8.18</t>
        </r>
      </text>
    </comment>
    <comment ref="O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2017.11.3</t>
        </r>
      </text>
    </comment>
    <comment ref="P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2017.10.19
50%</t>
        </r>
      </text>
    </comment>
    <comment ref="O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2017.6.21</t>
        </r>
      </text>
    </comment>
    <comment ref="P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2017.6.6</t>
        </r>
      </text>
    </comment>
    <comment ref="A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2017.5.17</t>
        </r>
      </text>
    </comment>
    <comment ref="T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2017.7.28</t>
        </r>
      </text>
    </comment>
    <comment ref="U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2017.7.19</t>
        </r>
      </text>
    </comment>
    <comment ref="C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欠款18000</t>
        </r>
      </text>
    </comment>
    <comment ref="C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欠款17350</t>
        </r>
      </text>
    </comment>
    <comment ref="C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项目结束，黄了</t>
        </r>
      </text>
    </comment>
    <comment ref="C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项目做黄了，应扣李君</t>
        </r>
      </text>
    </comment>
    <comment ref="O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2017.9.15
17年维保首款+第二笔款</t>
        </r>
      </text>
    </comment>
    <comment ref="P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2017.6.26</t>
        </r>
      </text>
    </comment>
    <comment ref="U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2017.6.26</t>
        </r>
      </text>
    </comment>
    <comment ref="Y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2018.10.18</t>
        </r>
      </text>
    </comment>
    <comment ref="C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欠质保金9600（18年8月15应收）</t>
        </r>
      </text>
    </comment>
    <comment ref="O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2017.8.23</t>
        </r>
      </text>
    </comment>
    <comment ref="P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2017.7.26
91200*2</t>
        </r>
      </text>
    </comment>
    <comment ref="O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2017.11.17</t>
        </r>
      </text>
    </comment>
    <comment ref="P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2017.7.20</t>
        </r>
      </text>
    </comment>
    <comment ref="T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2018.10.23日回款</t>
        </r>
      </text>
    </comment>
    <comment ref="A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2017.10.24</t>
        </r>
      </text>
    </comment>
    <comment ref="P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2017.9.27
收款30%4200
2017.10.12  -4200
2017.10.12  4200
</t>
        </r>
      </text>
    </comment>
    <comment ref="T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2017.11.29</t>
        </r>
      </text>
    </comment>
    <comment ref="U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2017.11.7</t>
        </r>
      </text>
    </comment>
    <comment ref="C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还欠5600（18年5月31日应收）应该收不回来了</t>
        </r>
      </text>
    </comment>
    <comment ref="O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2017.8.25</t>
        </r>
      </text>
    </comment>
    <comment ref="P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2017.7.20</t>
        </r>
      </text>
    </comment>
    <comment ref="T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2017.10.24</t>
        </r>
      </text>
    </comment>
    <comment ref="U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2017.9.27
第二笔30%4200
2017.10.12  -4200
2017.10.12  4200</t>
        </r>
      </text>
    </comment>
    <comment ref="P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2017.5.20
16年尾款3200加17年首款6400</t>
        </r>
      </text>
    </comment>
    <comment ref="T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2017.12.26
徐总现金</t>
        </r>
      </text>
    </comment>
    <comment ref="U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2017.12.26</t>
        </r>
      </text>
    </comment>
    <comment ref="O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2017.12.13</t>
        </r>
      </text>
    </comment>
    <comment ref="P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2017.8.28
17年直燃机维保30%</t>
        </r>
      </text>
    </comment>
    <comment ref="H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保养清洗费23920，耗材费（制冷剂2瓶R134A，冷冻油2桶）7800</t>
        </r>
      </text>
    </comment>
    <comment ref="A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2017.7.28</t>
        </r>
      </text>
    </comment>
    <comment ref="P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2017.7.19</t>
        </r>
      </text>
    </comment>
    <comment ref="O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2017.8.24</t>
        </r>
      </text>
    </comment>
    <comment ref="P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2017.8.16</t>
        </r>
      </text>
    </comment>
    <comment ref="T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2018.9.19号签收</t>
        </r>
      </text>
    </comment>
    <comment ref="U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2018.9.12</t>
        </r>
      </text>
    </comment>
    <comment ref="A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2017.8.22</t>
        </r>
      </text>
    </comment>
    <comment ref="P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2017.7.19</t>
        </r>
      </text>
    </comment>
    <comment ref="O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2017.8.15</t>
        </r>
      </text>
    </comment>
    <comment ref="P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2017.8.8</t>
        </r>
      </text>
    </comment>
    <comment ref="O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2017.8.15</t>
        </r>
      </text>
    </comment>
    <comment ref="P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2017.8.8</t>
        </r>
      </text>
    </comment>
    <comment ref="T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2018.1.9</t>
        </r>
      </text>
    </comment>
    <comment ref="U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2017.8.18</t>
        </r>
      </text>
    </comment>
    <comment ref="O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2017.9.6</t>
        </r>
      </text>
    </comment>
    <comment ref="P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2017.8.4</t>
        </r>
      </text>
    </comment>
    <comment ref="T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11月5号回款</t>
        </r>
      </text>
    </comment>
    <comment ref="U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2018.10.11签收</t>
        </r>
      </text>
    </comment>
    <comment ref="C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还欠5万，18年4月应收</t>
        </r>
      </text>
    </comment>
    <comment ref="O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2017.10.13
熊超</t>
        </r>
      </text>
    </comment>
    <comment ref="O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2017.8.21</t>
        </r>
      </text>
    </comment>
    <comment ref="P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2017.8.18</t>
        </r>
      </text>
    </comment>
    <comment ref="T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2017.10.31</t>
        </r>
      </text>
    </comment>
    <comment ref="U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2017.11.6
</t>
        </r>
      </text>
    </comment>
    <comment ref="O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2017.8.21</t>
        </r>
      </text>
    </comment>
    <comment ref="P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2017.8.18</t>
        </r>
      </text>
    </comment>
    <comment ref="T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2017.10.31</t>
        </r>
      </text>
    </comment>
    <comment ref="U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2017.11.6
30%</t>
        </r>
      </text>
    </comment>
    <comment ref="O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2017.9.4回款30000，去年50%加今年50%
</t>
        </r>
      </text>
    </comment>
    <comment ref="P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2017.8.22开票30000，去年50%加今年50%</t>
        </r>
      </text>
    </comment>
    <comment ref="T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2018.11.1日回款</t>
        </r>
      </text>
    </comment>
    <comment ref="O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2017.8.17</t>
        </r>
      </text>
    </comment>
    <comment ref="T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2017.9.5</t>
        </r>
      </text>
    </comment>
    <comment ref="O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2017.8.11</t>
        </r>
      </text>
    </comment>
    <comment ref="P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2017.8.23</t>
        </r>
      </text>
    </comment>
    <comment ref="P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2017.10.12</t>
        </r>
      </text>
    </comment>
    <comment ref="C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欠质保金2569.3；2020年已付清。</t>
        </r>
      </text>
    </comment>
    <comment ref="O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2017.11.16</t>
        </r>
      </text>
    </comment>
    <comment ref="P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2017.11.6
40%</t>
        </r>
      </text>
    </comment>
    <comment ref="C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欠质保金3806.85‘补充协议质保两年，2020年已付清。</t>
        </r>
      </text>
    </comment>
    <comment ref="O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2017.11.16</t>
        </r>
      </text>
    </comment>
    <comment ref="P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2017.11.6
40%</t>
        </r>
      </text>
    </comment>
    <comment ref="O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2017.10.31</t>
        </r>
      </text>
    </comment>
    <comment ref="P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2017.9.7</t>
        </r>
      </text>
    </comment>
    <comment ref="C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还欠20560，回扣钱，不给了</t>
        </r>
      </text>
    </comment>
    <comment ref="O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2017.8.20刘柯民生卡，不开票</t>
        </r>
      </text>
    </comment>
    <comment ref="O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2017.10.10</t>
        </r>
      </text>
    </comment>
    <comment ref="A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O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2017.10.31</t>
        </r>
      </text>
    </comment>
    <comment ref="P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2017.9.7</t>
        </r>
      </text>
    </comment>
    <comment ref="U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2017.9.14</t>
        </r>
      </text>
    </comment>
    <comment ref="T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2018.11.7</t>
        </r>
      </text>
    </comment>
    <comment ref="U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2018.11.2</t>
        </r>
      </text>
    </comment>
    <comment ref="C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还欠尾款2600,18年9月应收。</t>
        </r>
      </text>
    </comment>
    <comment ref="O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2017.10.10</t>
        </r>
      </text>
    </comment>
    <comment ref="P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2017.12.8</t>
        </r>
      </text>
    </comment>
    <comment ref="S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2017.12.15</t>
        </r>
      </text>
    </comment>
    <comment ref="T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2017.12.15</t>
        </r>
      </text>
    </comment>
    <comment ref="O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2017.11.6</t>
        </r>
      </text>
    </comment>
    <comment ref="P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2017.12.13
25000+1600（前置水过滤器）</t>
        </r>
      </text>
    </comment>
    <comment ref="O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2017.11.3</t>
        </r>
      </text>
    </comment>
    <comment ref="T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2018.10.12日回款</t>
        </r>
      </text>
    </comment>
    <comment ref="O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2017.10.20</t>
        </r>
      </text>
    </comment>
    <comment ref="P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2017.11.7</t>
        </r>
      </text>
    </comment>
    <comment ref="O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2017.10.20</t>
        </r>
      </text>
    </comment>
    <comment ref="P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2017.11.7
</t>
        </r>
      </text>
    </comment>
    <comment ref="O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2017.11.22</t>
        </r>
      </text>
    </comment>
    <comment ref="P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2017.11.11</t>
        </r>
      </text>
    </comment>
    <comment ref="T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2018.1.23</t>
        </r>
      </text>
    </comment>
    <comment ref="U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2018.1.8</t>
        </r>
      </text>
    </comment>
    <comment ref="O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北京朝阳规划风道清洗及变频器安装余款回款
2016.3.23</t>
        </r>
      </text>
    </comment>
    <comment ref="O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2017.3.29</t>
        </r>
      </text>
    </comment>
    <comment ref="P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2017.3.20</t>
        </r>
      </text>
    </comment>
    <comment ref="T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2017.4.27</t>
        </r>
      </text>
    </comment>
    <comment ref="U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2017.4.18</t>
        </r>
      </text>
    </comment>
    <comment ref="O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2017.9.25</t>
        </r>
      </text>
    </comment>
    <comment ref="P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2017.9.21</t>
        </r>
      </text>
    </comment>
    <comment ref="C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应收8902.5</t>
        </r>
      </text>
    </comment>
    <comment ref="O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2017.11.8</t>
        </r>
      </text>
    </comment>
    <comment ref="P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2018.1.8</t>
        </r>
      </text>
    </comment>
    <comment ref="O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2017-11-27</t>
        </r>
      </text>
    </comment>
    <comment ref="P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2017.11.23</t>
        </r>
      </text>
    </comment>
    <comment ref="O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2017.11.14</t>
        </r>
      </text>
    </comment>
    <comment ref="O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2018.1.12</t>
        </r>
      </text>
    </comment>
    <comment ref="P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2017.12.7</t>
        </r>
      </text>
    </comment>
    <comment ref="P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2017.12.7</t>
        </r>
      </text>
    </comment>
    <comment ref="O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2017.12.28</t>
        </r>
      </text>
    </comment>
    <comment ref="P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2017.11.28</t>
        </r>
      </text>
    </comment>
    <comment ref="O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2017.11-28</t>
        </r>
      </text>
    </comment>
    <comment ref="T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2018.11.20日回款</t>
        </r>
      </text>
    </comment>
    <comment ref="C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应收11万</t>
        </r>
      </text>
    </comment>
    <comment ref="P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2017.12.5</t>
        </r>
      </text>
    </comment>
    <comment ref="O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2017.11.10</t>
        </r>
      </text>
    </comment>
    <comment ref="P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2018.1.8开票</t>
        </r>
      </text>
    </comment>
    <comment ref="H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质保期为更换后6个月</t>
        </r>
      </text>
    </comment>
    <comment ref="O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2018.11.11</t>
        </r>
      </text>
    </comment>
    <comment ref="H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质保期为更换后6个月</t>
        </r>
      </text>
    </comment>
    <comment ref="O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2018.1.11</t>
        </r>
      </text>
    </comment>
    <comment ref="C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应催款11200，已超期</t>
        </r>
      </text>
    </comment>
    <comment ref="O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2017.11.10</t>
        </r>
      </text>
    </comment>
    <comment ref="P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2017.11.23</t>
        </r>
      </text>
    </comment>
    <comment ref="O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2017.12.15
17年首款</t>
        </r>
      </text>
    </comment>
    <comment ref="P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2017-12-11
16年尾款+17年首款17350</t>
        </r>
      </text>
    </comment>
    <comment ref="C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18年6月应收9000</t>
        </r>
      </text>
    </comment>
    <comment ref="O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2017.12.26</t>
        </r>
      </text>
    </comment>
    <comment ref="P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2017.12.7</t>
        </r>
      </text>
    </comment>
    <comment ref="T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2017.12.26</t>
        </r>
      </text>
    </comment>
    <comment ref="U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2017.12.11</t>
        </r>
      </text>
    </comment>
    <comment ref="O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2017.12.20</t>
        </r>
      </text>
    </comment>
    <comment ref="P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2017.12.13</t>
        </r>
      </text>
    </comment>
    <comment ref="Y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2018.10.19日回款</t>
        </r>
      </text>
    </comment>
    <comment ref="O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2017.11.27</t>
        </r>
      </text>
    </comment>
    <comment ref="P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2018.1.5
</t>
        </r>
      </text>
    </comment>
    <comment ref="S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2018.1.10</t>
        </r>
      </text>
    </comment>
    <comment ref="T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2018.1.10回款</t>
        </r>
      </text>
    </comment>
    <comment ref="O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2018.1.16</t>
        </r>
      </text>
    </comment>
    <comment ref="P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2018.1.8</t>
        </r>
      </text>
    </comment>
    <comment ref="C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欠4500元，2020年 已结清</t>
        </r>
      </text>
    </comment>
    <comment ref="P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2017.12.6</t>
        </r>
      </text>
    </comment>
    <comment ref="C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2018.3.21日回款</t>
        </r>
      </text>
    </comment>
    <comment ref="M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开利控制屏1个10296（17%）
灌制程序2120（6%）</t>
        </r>
      </text>
    </comment>
    <comment ref="N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2018.1.5收</t>
        </r>
      </text>
    </comment>
    <comment ref="P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2018.1.4</t>
        </r>
      </text>
    </comment>
    <comment ref="O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2017.12.28回款30200</t>
        </r>
      </text>
    </comment>
    <comment ref="P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2017.12.25
17年直燃机维保首款30%+第二笔50%</t>
        </r>
      </text>
    </comment>
    <comment ref="O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2017.12.28回款30200
</t>
        </r>
      </text>
    </comment>
    <comment ref="P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2017.12.25
17年电制冷技术服务3000</t>
        </r>
      </text>
    </comment>
    <comment ref="H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制冷季结束后乙方开具发票，甲方向乙方支付维保款的50%（15000.00元）；合同结束后15个工作日内，甲方向乙方支付维保款的50%（15000.00元）。已付清</t>
        </r>
      </text>
    </comment>
    <comment ref="H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制冷季结束后乙方开具发票,甲方向乙方支付维保款的50%（8000.00元）；合同结束后15个工作日内，甲方向乙方支付维保款的50%（8000.00元）</t>
        </r>
      </text>
    </comment>
    <comment ref="C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抵账</t>
        </r>
      </text>
    </comment>
    <comment ref="T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2018.8.3</t>
        </r>
      </text>
    </comment>
    <comment ref="O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2017.4.6
共入账9000+4500，分别计入公主坟店7500与牡丹园店6000</t>
        </r>
      </text>
    </comment>
    <comment ref="P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2017.1.10
16年尾款20%3000
17年首款30%4500</t>
        </r>
      </text>
    </comment>
    <comment ref="T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2017.12.20
17年70%
7500+3000</t>
        </r>
      </text>
    </comment>
    <comment ref="U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2017.12.6
17年70%
</t>
        </r>
      </text>
    </comment>
    <comment ref="O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2017.1.17  9000
2017.4.6   6000</t>
        </r>
      </text>
    </comment>
    <comment ref="P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2017.1.10
16年尾款20%6000
17年首款30%9000</t>
        </r>
      </text>
    </comment>
    <comment ref="T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2017.12.20
17年70%
15000+6000</t>
        </r>
      </text>
    </comment>
    <comment ref="U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2017.12.6
17年70%
</t>
        </r>
      </text>
    </comment>
    <comment ref="O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2017.4.14</t>
        </r>
      </text>
    </comment>
    <comment ref="P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2017.3.13</t>
        </r>
      </text>
    </comment>
    <comment ref="P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2017.1.13</t>
        </r>
      </text>
    </comment>
    <comment ref="O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2017.8.18</t>
        </r>
      </text>
    </comment>
    <comment ref="P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2017.1.10</t>
        </r>
      </text>
    </comment>
    <comment ref="O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2017.1.26  3000</t>
        </r>
      </text>
    </comment>
    <comment ref="T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2017.11.28</t>
        </r>
      </text>
    </comment>
    <comment ref="U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2017.11.7
乙二醇一吨</t>
        </r>
      </text>
    </comment>
    <comment ref="P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2017.1.10</t>
        </r>
      </text>
    </comment>
    <comment ref="O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2017.1.20
8424+1521</t>
        </r>
      </text>
    </comment>
    <comment ref="O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2017.6.28</t>
        </r>
      </text>
    </comment>
    <comment ref="P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2017.6.16
尾款</t>
        </r>
      </text>
    </comment>
    <comment ref="O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2017.2.14</t>
        </r>
      </text>
    </comment>
    <comment ref="P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2017.1.18</t>
        </r>
      </text>
    </comment>
    <comment ref="T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2017.7.4</t>
        </r>
      </text>
    </comment>
    <comment ref="U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2017.6.21</t>
        </r>
      </text>
    </comment>
    <comment ref="O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2017.1.25  11500
</t>
        </r>
      </text>
    </comment>
    <comment ref="P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2017.1.10</t>
        </r>
      </text>
    </comment>
    <comment ref="O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2017.4.14</t>
        </r>
      </text>
    </comment>
    <comment ref="P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2017.1.20</t>
        </r>
      </text>
    </comment>
    <comment ref="N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2017.1.17</t>
        </r>
      </text>
    </comment>
    <comment ref="O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2017.1.17</t>
        </r>
      </text>
    </comment>
    <comment ref="P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2017.1.10</t>
        </r>
      </text>
    </comment>
    <comment ref="T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2017.7.18</t>
        </r>
      </text>
    </comment>
    <comment ref="U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2017.6.21</t>
        </r>
      </text>
    </comment>
    <comment ref="Y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2018.1.17</t>
        </r>
      </text>
    </comment>
    <comment ref="Z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2017.12.13</t>
        </r>
      </text>
    </comment>
    <comment ref="O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2017.1.24</t>
        </r>
      </text>
    </comment>
    <comment ref="O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2017.1.24</t>
        </r>
      </text>
    </comment>
    <comment ref="O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2017.1.13
13300+4950</t>
        </r>
      </text>
    </comment>
    <comment ref="T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2017.9.19</t>
        </r>
      </text>
    </comment>
    <comment ref="O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2017.1.5 12084
2017.2.27   12042.5</t>
        </r>
      </text>
    </comment>
    <comment ref="T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2017.3.20</t>
        </r>
      </text>
    </comment>
    <comment ref="O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2017.1.9</t>
        </r>
      </text>
    </comment>
    <comment ref="O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2017.3.7  1350
2017.3.17  1350
</t>
        </r>
      </text>
    </comment>
    <comment ref="P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2017.2.14</t>
        </r>
      </text>
    </comment>
    <comment ref="O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2017.5.5</t>
        </r>
      </text>
    </comment>
    <comment ref="P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2017.4.7</t>
        </r>
      </text>
    </comment>
    <comment ref="T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2017.11.21
</t>
        </r>
      </text>
    </comment>
    <comment ref="U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2017.9.21
真空锅炉维保第三笔25%
第四笔25%</t>
        </r>
      </text>
    </comment>
    <comment ref="O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2017.4.10</t>
        </r>
      </text>
    </comment>
    <comment ref="P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2017.2.15</t>
        </r>
      </text>
    </comment>
    <comment ref="T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2017.7.28</t>
        </r>
      </text>
    </comment>
    <comment ref="O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2017.8.25</t>
        </r>
      </text>
    </comment>
    <comment ref="P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2017.8.8
全款</t>
        </r>
      </text>
    </comment>
    <comment ref="O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2017.2.27</t>
        </r>
      </text>
    </comment>
    <comment ref="P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2017.2.20</t>
        </r>
      </text>
    </comment>
    <comment ref="T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2017.3.31</t>
        </r>
      </text>
    </comment>
    <comment ref="O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2017.7.20</t>
        </r>
      </text>
    </comment>
    <comment ref="P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2017.2.20</t>
        </r>
      </text>
    </comment>
    <comment ref="O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2017.3.8</t>
        </r>
      </text>
    </comment>
    <comment ref="P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2017.2.22</t>
        </r>
      </text>
    </comment>
    <comment ref="P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2017.2.7
</t>
        </r>
      </text>
    </comment>
    <comment ref="P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2017.2.7</t>
        </r>
      </text>
    </comment>
    <comment ref="O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2017.2.21
20000+40000
</t>
        </r>
      </text>
    </comment>
    <comment ref="P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2017.3.3</t>
        </r>
      </text>
    </comment>
    <comment ref="P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2017.3.3</t>
        </r>
      </text>
    </comment>
    <comment ref="O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2017.3.31</t>
        </r>
      </text>
    </comment>
    <comment ref="P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2017.3.4</t>
        </r>
      </text>
    </comment>
    <comment ref="P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2017.3.10  300000
2017.3.13   383149.75
</t>
        </r>
      </text>
    </comment>
    <comment ref="O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2017.3.24</t>
        </r>
      </text>
    </comment>
    <comment ref="P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2017.3.13</t>
        </r>
      </text>
    </comment>
    <comment ref="T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2017.9.20</t>
        </r>
      </text>
    </comment>
    <comment ref="U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2017.9.8
16年直燃机年度维保尾款50%</t>
        </r>
      </text>
    </comment>
    <comment ref="O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2017.3.14</t>
        </r>
      </text>
    </comment>
    <comment ref="P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2017.3.8</t>
        </r>
      </text>
    </comment>
    <comment ref="O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2017.4.10</t>
        </r>
      </text>
    </comment>
    <comment ref="P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2017.3.23</t>
        </r>
      </text>
    </comment>
    <comment ref="O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2017.4.17</t>
        </r>
      </text>
    </comment>
    <comment ref="P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2017.3.23</t>
        </r>
      </text>
    </comment>
    <comment ref="O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现金2017.3.07</t>
        </r>
      </text>
    </comment>
    <comment ref="P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2017.3.7</t>
        </r>
      </text>
    </comment>
    <comment ref="O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2017.12.26
</t>
        </r>
      </text>
    </comment>
    <comment ref="P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2017.12.26
</t>
        </r>
      </text>
    </comment>
    <comment ref="O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2017.3.20</t>
        </r>
      </text>
    </comment>
    <comment ref="P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2017.4.15</t>
        </r>
      </text>
    </comment>
    <comment ref="O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2017.3.17</t>
        </r>
      </text>
    </comment>
    <comment ref="O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银行承兑汇票
票号：30700051/32119726
出票日期：2016.11.24
到期日：2017.5.24
出票人：湖北福星新材料科技有限公司</t>
        </r>
      </text>
    </comment>
    <comment ref="T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2017.4.11</t>
        </r>
      </text>
    </comment>
    <comment ref="P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2017.4.12</t>
        </r>
      </text>
    </comment>
    <comment ref="O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2017.11.14承兑汇票</t>
        </r>
      </text>
    </comment>
    <comment ref="P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2017.4.7</t>
        </r>
      </text>
    </comment>
    <comment ref="O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2017.5.9</t>
        </r>
      </text>
    </comment>
    <comment ref="P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2017.4.11</t>
        </r>
      </text>
    </comment>
    <comment ref="O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2017.4.7</t>
        </r>
      </text>
    </comment>
    <comment ref="P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2017.4.7</t>
        </r>
      </text>
    </comment>
    <comment ref="O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2017.12.28全款</t>
        </r>
      </text>
    </comment>
    <comment ref="O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2017.6.30</t>
        </r>
      </text>
    </comment>
    <comment ref="P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2017.5.26  495840
2017.5.26  73902</t>
        </r>
      </text>
    </comment>
    <comment ref="O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2017.6.26</t>
        </r>
      </text>
    </comment>
    <comment ref="P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2017.6.22</t>
        </r>
      </text>
    </comment>
    <comment ref="T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2017.9.20</t>
        </r>
      </text>
    </comment>
    <comment ref="U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2017.8.16</t>
        </r>
      </text>
    </comment>
    <comment ref="Y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2017.11.23
预收款80万</t>
        </r>
      </text>
    </comment>
    <comment ref="Z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2017.10.19补217年1月预收款120万</t>
        </r>
      </text>
    </comment>
    <comment ref="AD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2017.11.23</t>
        </r>
      </text>
    </comment>
    <comment ref="AE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2017.11.9</t>
        </r>
      </text>
    </comment>
    <comment ref="O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2017.7.7
北京声驰律师事务所</t>
        </r>
      </text>
    </comment>
    <comment ref="P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2017.6.21</t>
        </r>
      </text>
    </comment>
    <comment ref="O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2017.7.20</t>
        </r>
      </text>
    </comment>
    <comment ref="P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2017.6.13</t>
        </r>
      </text>
    </comment>
    <comment ref="AD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2017.12.21</t>
        </r>
      </text>
    </comment>
    <comment ref="AE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2017.12.7
17年空调保养首款40%</t>
        </r>
      </text>
    </comment>
    <comment ref="O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2017.6.27
2016年尾款</t>
        </r>
      </text>
    </comment>
    <comment ref="O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50%直燃机款，未开票</t>
        </r>
      </text>
    </comment>
    <comment ref="O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2017.7.31</t>
        </r>
      </text>
    </comment>
    <comment ref="P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2017.7.20</t>
        </r>
      </text>
    </comment>
    <comment ref="O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2017.8.31</t>
        </r>
      </text>
    </comment>
    <comment ref="P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2017.7.18</t>
        </r>
      </text>
    </comment>
    <comment ref="O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2017.9.25</t>
        </r>
      </text>
    </comment>
    <comment ref="P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2017.7.20</t>
        </r>
      </text>
    </comment>
    <comment ref="O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2017.8.6
16年空调维保尾款</t>
        </r>
      </text>
    </comment>
    <comment ref="O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2017.10.30</t>
        </r>
      </text>
    </comment>
    <comment ref="P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2017.9.26</t>
        </r>
      </text>
    </comment>
    <comment ref="P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2017.9.27</t>
        </r>
      </text>
    </comment>
    <comment ref="O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2018.1.17</t>
        </r>
      </text>
    </comment>
    <comment ref="P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2017.10.12
5%尾款</t>
        </r>
      </text>
    </comment>
    <comment ref="U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2017.12.6</t>
        </r>
      </text>
    </comment>
    <comment ref="O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2017.10.27</t>
        </r>
      </text>
    </comment>
    <comment ref="P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2017.10.26</t>
        </r>
      </text>
    </comment>
    <comment ref="O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2017.10.11
承兑汇票到账</t>
        </r>
      </text>
    </comment>
    <comment ref="O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2017.11.13</t>
        </r>
      </text>
    </comment>
    <comment ref="P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2017.11.6</t>
        </r>
      </text>
    </comment>
    <comment ref="O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2018.1.9
</t>
        </r>
      </text>
    </comment>
    <comment ref="P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2017.11.6</t>
        </r>
      </text>
    </comment>
    <comment ref="O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2017.9.4回款30000，去年50%加今年50%
</t>
        </r>
      </text>
    </comment>
    <comment ref="P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2017.8.22开票30000，去年50%加今年50%</t>
        </r>
      </text>
    </comment>
    <comment ref="O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2017.4.5</t>
        </r>
      </text>
    </comment>
    <comment ref="O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2017.5.10
</t>
        </r>
      </text>
    </comment>
    <comment ref="O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2017.5.12</t>
        </r>
      </text>
    </comment>
    <comment ref="O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2017.9.14</t>
        </r>
      </text>
    </comment>
    <comment ref="O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2017.10.19</t>
        </r>
      </text>
    </comment>
    <comment ref="C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O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2017.5.12</t>
        </r>
      </text>
    </comment>
    <comment ref="O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2017.6.28</t>
        </r>
      </text>
    </comment>
    <comment ref="O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2017.7.11</t>
        </r>
      </text>
    </comment>
    <comment ref="O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2017.7.19</t>
        </r>
      </text>
    </comment>
    <comment ref="O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2017.8.16
</t>
        </r>
      </text>
    </comment>
    <comment ref="O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2018.8.17</t>
        </r>
      </text>
    </comment>
    <comment ref="O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2017.9.5</t>
        </r>
      </text>
    </comment>
    <comment ref="O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2017.10.10</t>
        </r>
      </text>
    </comment>
    <comment ref="O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2017.10.16</t>
        </r>
      </text>
    </comment>
    <comment ref="O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2017.10.17</t>
        </r>
      </text>
    </comment>
    <comment ref="O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2017.11.3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签订日期2017年2月24日</t>
        </r>
      </text>
    </comment>
    <comment ref="C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还欠28000元</t>
        </r>
      </text>
    </comment>
    <comment ref="K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2017.3.22</t>
        </r>
      </text>
    </comment>
    <comment ref="L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2017.3.18</t>
        </r>
      </text>
    </comment>
    <comment ref="A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K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2017.9.1
共回款104067</t>
        </r>
      </text>
    </comment>
    <comment ref="L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2017.8.8</t>
        </r>
      </text>
    </comment>
    <comment ref="A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K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2017.9.1
共回款104067</t>
        </r>
      </text>
    </comment>
    <comment ref="L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2017.8.8</t>
        </r>
      </text>
    </comment>
    <comment ref="A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欠85800</t>
        </r>
      </text>
    </comment>
    <comment ref="K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2017.5.12</t>
        </r>
      </text>
    </comment>
    <comment ref="L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2017.5.9</t>
        </r>
      </text>
    </comment>
    <comment ref="K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2017.5.12</t>
        </r>
      </text>
    </comment>
    <comment ref="L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2017.5.10</t>
        </r>
      </text>
    </comment>
    <comment ref="K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2017.5.12</t>
        </r>
      </text>
    </comment>
    <comment ref="L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2017.5.9</t>
        </r>
      </text>
    </comment>
    <comment ref="K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2017.5.23</t>
        </r>
      </text>
    </comment>
    <comment ref="L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2017.5.5</t>
        </r>
      </text>
    </comment>
    <comment ref="P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2018.1.8</t>
        </r>
      </text>
    </comment>
    <comment ref="Q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2017.11.18</t>
        </r>
      </text>
    </comment>
    <comment ref="A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C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欠1106.75</t>
        </r>
      </text>
    </comment>
    <comment ref="K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2017.10.13</t>
        </r>
      </text>
    </comment>
    <comment ref="L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2017.9.18</t>
        </r>
      </text>
    </comment>
    <comment ref="K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2017.8.31</t>
        </r>
      </text>
    </comment>
    <comment ref="L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2017.8.24</t>
        </r>
      </text>
    </comment>
    <comment ref="Q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2018.1.4</t>
        </r>
      </text>
    </comment>
    <comment ref="A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K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2017.7.4</t>
        </r>
      </text>
    </comment>
    <comment ref="L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2017.6.26</t>
        </r>
      </text>
    </comment>
    <comment ref="A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K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2017.3.7  14200
2017.3.14  56800
</t>
        </r>
      </text>
    </comment>
    <comment ref="L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2017.4.22</t>
        </r>
      </text>
    </comment>
    <comment ref="A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C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欠尾款48800，发票已开</t>
        </r>
      </text>
    </comment>
    <comment ref="K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2017.8.28</t>
        </r>
      </text>
    </comment>
    <comment ref="L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2017.8.16</t>
        </r>
      </text>
    </comment>
    <comment ref="P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2017.9.5</t>
        </r>
      </text>
    </comment>
    <comment ref="C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欠款5800质保金，2018.5.10满一年支付 已开票</t>
        </r>
      </text>
    </comment>
    <comment ref="L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2017.8.4</t>
        </r>
      </text>
    </comment>
    <comment ref="K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2017.4.5</t>
        </r>
      </text>
    </comment>
    <comment ref="A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已报印花税</t>
        </r>
      </text>
    </comment>
    <comment ref="C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14000，已开票，7月17日收到14000</t>
        </r>
      </text>
    </comment>
    <comment ref="K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2017.3.29</t>
        </r>
      </text>
    </comment>
    <comment ref="L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2017.3.20</t>
        </r>
      </text>
    </comment>
    <comment ref="P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2017.4.27</t>
        </r>
      </text>
    </comment>
    <comment ref="Q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2017.4.15</t>
        </r>
      </text>
    </comment>
    <comment ref="K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2017.10.9</t>
        </r>
      </text>
    </comment>
    <comment ref="L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2017.11.7
工程款58164
低氮燃烧器116836</t>
        </r>
      </text>
    </comment>
    <comment ref="C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欠124042.5</t>
        </r>
      </text>
    </comment>
    <comment ref="K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2017.10.12</t>
        </r>
      </text>
    </comment>
    <comment ref="L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2017.9.27</t>
        </r>
      </text>
    </comment>
    <comment ref="C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欠72000</t>
        </r>
      </text>
    </comment>
    <comment ref="K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2018.1.9</t>
        </r>
      </text>
    </comment>
    <comment ref="L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2017.11.6</t>
        </r>
      </text>
    </comment>
    <comment ref="C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欠165000</t>
        </r>
      </text>
    </comment>
    <comment ref="K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2017.11.16</t>
        </r>
      </text>
    </comment>
    <comment ref="L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2017.11.14</t>
        </r>
      </text>
    </comment>
    <comment ref="K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2017.12.5</t>
        </r>
      </text>
    </comment>
    <comment ref="L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2017.12.5</t>
        </r>
      </text>
    </comment>
    <comment ref="Q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2018.1.16</t>
        </r>
      </text>
    </comment>
    <comment ref="K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2018.1.12</t>
        </r>
      </text>
    </comment>
    <comment ref="L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2018.1.5开票57000+90500</t>
        </r>
      </text>
    </comment>
  </commentList>
</comments>
</file>

<file path=xl/sharedStrings.xml><?xml version="1.0" encoding="utf-8"?>
<sst xmlns="http://schemas.openxmlformats.org/spreadsheetml/2006/main" count="3668" uniqueCount="1782">
  <si>
    <t>单位概况（客服）</t>
  </si>
  <si>
    <t>预算部分（客服）</t>
  </si>
  <si>
    <t>决算部分（财务）</t>
  </si>
  <si>
    <t>预算提成部分（客服）</t>
  </si>
  <si>
    <t>实际提成部分（财务）</t>
  </si>
  <si>
    <t>单位名称</t>
  </si>
  <si>
    <t>项目名称</t>
  </si>
  <si>
    <t>负责人</t>
  </si>
  <si>
    <t>合同金额</t>
  </si>
  <si>
    <t>材料成本</t>
  </si>
  <si>
    <t>施工成本</t>
  </si>
  <si>
    <t>财务成本</t>
  </si>
  <si>
    <t>业务费用</t>
  </si>
  <si>
    <t>管理费用</t>
  </si>
  <si>
    <t>其它费用</t>
  </si>
  <si>
    <t>毛利剩余</t>
  </si>
  <si>
    <t>毛利率</t>
  </si>
  <si>
    <t>报销金额
（不高于部门报销部分）</t>
  </si>
  <si>
    <t>信息费用</t>
  </si>
  <si>
    <t>回款金额</t>
  </si>
  <si>
    <t>合同金额回款幅度
（总回款率）</t>
  </si>
  <si>
    <t>公司部分
（85%）</t>
  </si>
  <si>
    <t>部门部分
（15%）</t>
  </si>
  <si>
    <t>报销部分
（部门的20%）</t>
  </si>
  <si>
    <t>部门分成（部门的80%）</t>
  </si>
  <si>
    <t>个人部分
（部门的80%的85%）</t>
  </si>
  <si>
    <t>分配部分（部门的80%的15%）</t>
  </si>
  <si>
    <t>借支金额</t>
  </si>
  <si>
    <t>实际报销</t>
  </si>
  <si>
    <t>总经理部分
（部门的80%的8%）</t>
  </si>
  <si>
    <t>部门经理部分
（部门的80%的5%）</t>
  </si>
  <si>
    <t>内勤部分
（部门的80%的2%）</t>
  </si>
  <si>
    <t>应提金额</t>
  </si>
  <si>
    <t>已提金额</t>
  </si>
  <si>
    <t>1月份</t>
  </si>
  <si>
    <t>2月份</t>
  </si>
  <si>
    <t>1-2月份</t>
  </si>
  <si>
    <t>3月份</t>
  </si>
  <si>
    <t>1-3月份</t>
  </si>
  <si>
    <t>4月份</t>
  </si>
  <si>
    <t>1-4月份</t>
  </si>
  <si>
    <t>5月份</t>
  </si>
  <si>
    <t>1-5月份</t>
  </si>
  <si>
    <t>6月份</t>
  </si>
  <si>
    <t>1-6月份</t>
  </si>
  <si>
    <t>7月份</t>
  </si>
  <si>
    <t>1-7月份</t>
  </si>
  <si>
    <t>8月份</t>
  </si>
  <si>
    <t>1-8月份</t>
  </si>
  <si>
    <t>9月份</t>
  </si>
  <si>
    <t>1-9月份</t>
  </si>
  <si>
    <t>10月份</t>
  </si>
  <si>
    <t>1-10月份</t>
  </si>
  <si>
    <t>11月份</t>
  </si>
  <si>
    <t>1-11月份</t>
  </si>
  <si>
    <t>12月份</t>
  </si>
  <si>
    <t>1-12月份</t>
  </si>
  <si>
    <t>合计</t>
  </si>
  <si>
    <t>合同解除</t>
  </si>
  <si>
    <t>2018年合同登记表</t>
  </si>
  <si>
    <t>单位：</t>
  </si>
  <si>
    <t>北京三汇能源科技发展有限公司</t>
  </si>
  <si>
    <t>序列</t>
  </si>
  <si>
    <t>合同类别</t>
  </si>
  <si>
    <t>签订日期</t>
  </si>
  <si>
    <t>承包组</t>
  </si>
  <si>
    <t>包干费</t>
  </si>
  <si>
    <t>客户名称</t>
  </si>
  <si>
    <t>公司名称</t>
  </si>
  <si>
    <t>合同编号</t>
  </si>
  <si>
    <t>开始日期</t>
  </si>
  <si>
    <t>结束日期</t>
  </si>
  <si>
    <t>业务员</t>
  </si>
  <si>
    <t>合同总金额</t>
  </si>
  <si>
    <t>备注</t>
  </si>
  <si>
    <t>开票总额</t>
  </si>
  <si>
    <t>回款总额</t>
  </si>
  <si>
    <t>蓝色表格禁止修改，可添加行，并复制上一行的公式</t>
  </si>
  <si>
    <t>开票金额</t>
  </si>
  <si>
    <t>开票比率</t>
  </si>
  <si>
    <t>回款比率</t>
  </si>
  <si>
    <t>技术服务（清洗、维保）</t>
  </si>
  <si>
    <t>2018.1.1</t>
  </si>
  <si>
    <t>郭佩港</t>
  </si>
  <si>
    <t>乔治费歇尔</t>
  </si>
  <si>
    <t>北京乔治费歇尔管路系统有限公司</t>
  </si>
  <si>
    <t>NHS-20171129-KF-01-01-008</t>
  </si>
  <si>
    <t>乔治费歇尔螺杆机年度技术服务</t>
  </si>
  <si>
    <t>兰健</t>
  </si>
  <si>
    <t>2018.1.1日应回16500
2018.1.31日应回13200
2018.12.31日应回3300</t>
  </si>
  <si>
    <t>工程安装</t>
  </si>
  <si>
    <t>2017.11.11</t>
  </si>
  <si>
    <t>新城国际</t>
  </si>
  <si>
    <t>第一太平戴维斯物业顾问（北京）有限公司新城国际公寓分公司</t>
  </si>
  <si>
    <t>NHS-20170925-Q-02-01-001</t>
  </si>
  <si>
    <t>空调维修改造</t>
  </si>
  <si>
    <t>2018.3.11</t>
  </si>
  <si>
    <t>2018.6.11</t>
  </si>
  <si>
    <t>尹虎</t>
  </si>
  <si>
    <t>整体验收合格后付172746</t>
  </si>
  <si>
    <t>2017.12.11</t>
  </si>
  <si>
    <t>没有编号，挂靠合同(北京江泰装饰装潢有限公司）</t>
  </si>
  <si>
    <t>基础设施工程改造</t>
  </si>
  <si>
    <t>2018.03.26</t>
  </si>
  <si>
    <t>2018.06.25</t>
  </si>
  <si>
    <t>整体验收合格后付567507</t>
  </si>
  <si>
    <t>2017.12.05</t>
  </si>
  <si>
    <t>没有编号，挂靠合同（北京皓景机电设备安装工程有限公司）</t>
  </si>
  <si>
    <t>新城国际清洗、改造</t>
  </si>
  <si>
    <t>2018.04.11</t>
  </si>
  <si>
    <t>2018.07.11</t>
  </si>
  <si>
    <t>整体验收合格后付356700</t>
  </si>
  <si>
    <t>NHS-20170925-Q-01-01-001</t>
  </si>
  <si>
    <t>生活水泵变频器更换</t>
  </si>
  <si>
    <t>整体验收合格后137000</t>
  </si>
  <si>
    <t>胡英俊</t>
  </si>
  <si>
    <t>翠微牡丹园</t>
  </si>
  <si>
    <t>北京翠微大厦股份有限公司</t>
  </si>
  <si>
    <t>NHS-20171205-KF-01-01-008</t>
  </si>
  <si>
    <t>空调年度维保</t>
  </si>
  <si>
    <t>2018.12.31</t>
  </si>
  <si>
    <t>陈勇/</t>
  </si>
  <si>
    <t>2018年1.10日应回9000元
2018.10.30日应回15000元
2018.12.31日应回6000元</t>
  </si>
  <si>
    <t>2017.12.14</t>
  </si>
  <si>
    <t>李君</t>
  </si>
  <si>
    <t>中石油</t>
  </si>
  <si>
    <t>中国石油工程建设有限公司</t>
  </si>
  <si>
    <t>NHS-20170825-KF-01-01-008</t>
  </si>
  <si>
    <t>直燃机年度维保</t>
  </si>
  <si>
    <t>2818.12.31</t>
  </si>
  <si>
    <t>2018年12.31日应回70560元</t>
  </si>
  <si>
    <t>天一大厦</t>
  </si>
  <si>
    <t>天津天一建设集团有限公司</t>
  </si>
  <si>
    <t>NHY-20180104-L-01-01-030</t>
  </si>
  <si>
    <t>2018.3.30日应回12250元
2018.6.30日应回12250元
2018.9.30日应回12250元
2018.12.31日应回12250元</t>
  </si>
  <si>
    <t>2018.1.8</t>
  </si>
  <si>
    <t>外包</t>
  </si>
  <si>
    <t>中科华誉</t>
  </si>
  <si>
    <t>北京中科华誉热泵设备制造有限公司</t>
  </si>
  <si>
    <t>没有编号</t>
  </si>
  <si>
    <t>田村2号站更换压缩机</t>
  </si>
  <si>
    <t>2018.1.2</t>
  </si>
  <si>
    <t>2018.1.6</t>
  </si>
  <si>
    <t>李劲</t>
  </si>
  <si>
    <t>2018年1月8号应回22000元</t>
  </si>
  <si>
    <t>2017.12.25</t>
  </si>
  <si>
    <t>张昕</t>
  </si>
  <si>
    <t>成都妇女儿童中心</t>
  </si>
  <si>
    <t>成都华昌物业发展有限公司</t>
  </si>
  <si>
    <t>HCFE18-002</t>
  </si>
  <si>
    <t>直燃机冷水机组维护保养</t>
  </si>
  <si>
    <t>兰健/</t>
  </si>
  <si>
    <t>2018年1月5日应回18800元2018年6.30日应回18800元
2018年12.31日应回9400元</t>
  </si>
  <si>
    <t>泰丰国际广场</t>
  </si>
  <si>
    <t>成都家园经营管理有限公司</t>
  </si>
  <si>
    <t>NH-20171101-Q-01-01-001</t>
  </si>
  <si>
    <t>2018.10.31</t>
  </si>
  <si>
    <t>2017.12.6日应回44000元
2018.5.1日应回22000元；
2018.11.7日应回44000元</t>
  </si>
  <si>
    <t>2017.12.20</t>
  </si>
  <si>
    <t>玉泉营古文化广场</t>
  </si>
  <si>
    <t>中汇博泰（北京）商业运营管理有限公司</t>
  </si>
  <si>
    <t>NHS-2017114-Q-02-01-001</t>
  </si>
  <si>
    <t>直燃机年度维保、冷温水主管道清洗</t>
  </si>
  <si>
    <t>2018.12.19</t>
  </si>
  <si>
    <t>尹虎/陈勇</t>
  </si>
  <si>
    <t xml:space="preserve">2017.12.25应回21000元
2017.12.25应回1600元
2018.12.19日应回14000元 </t>
  </si>
  <si>
    <t>2017.12.12</t>
  </si>
  <si>
    <t>深圳南山热电</t>
  </si>
  <si>
    <t>深圳南山热电股份有限公司南山热电厂</t>
  </si>
  <si>
    <t>年度检修</t>
  </si>
  <si>
    <t>2018.06.11</t>
  </si>
  <si>
    <t>2018.3.1日应回47900
工程验收合格回43110
2019.4.15日应回4790</t>
  </si>
  <si>
    <t>2018.1.09</t>
  </si>
  <si>
    <t>？</t>
  </si>
  <si>
    <t>天津劝宝</t>
  </si>
  <si>
    <t>天津劝宝超市有限责任公司</t>
  </si>
  <si>
    <t>NHS-20180109-KF-01-01-011</t>
  </si>
  <si>
    <t>维修变频器</t>
  </si>
  <si>
    <t>2018.1.15</t>
  </si>
  <si>
    <t>2018.1.25</t>
  </si>
  <si>
    <t>普票一次性支付</t>
  </si>
  <si>
    <t>2018.1.27</t>
  </si>
  <si>
    <t>济南武洲</t>
  </si>
  <si>
    <t>济南武洲大酒店</t>
  </si>
  <si>
    <t>NHY-20180127-L-01-01-030</t>
  </si>
  <si>
    <t>空调维修</t>
  </si>
  <si>
    <t>2018.1.28</t>
  </si>
  <si>
    <t>2018.1.29</t>
  </si>
  <si>
    <t xml:space="preserve">2018.1.29微信支付3000元
2018.2.28日应回3000元
</t>
  </si>
  <si>
    <t>河北浩天</t>
  </si>
  <si>
    <t>河北浩天非制造布有限公司</t>
  </si>
  <si>
    <t>NHY-20180125-W-01-01-04</t>
  </si>
  <si>
    <t>冷水机组维保</t>
  </si>
  <si>
    <t>2018.01.25</t>
  </si>
  <si>
    <t>2019.01.24</t>
  </si>
  <si>
    <t>2018.1.30日应回9100
维修完毕后回尾款3900</t>
  </si>
  <si>
    <t>2018.01.21</t>
  </si>
  <si>
    <t>吉林国投</t>
  </si>
  <si>
    <t>吉林国投长生谷养护中心</t>
  </si>
  <si>
    <t>NHY-20180121-Q-01-01-044</t>
  </si>
  <si>
    <t>更换压缩机</t>
  </si>
  <si>
    <t>2018.1.22</t>
  </si>
  <si>
    <t>2018.1.30</t>
  </si>
  <si>
    <t>2018.1.30日一次性支付</t>
  </si>
  <si>
    <t>2018.01.30</t>
  </si>
  <si>
    <t>NHY-20180130-Q-01-01-044</t>
  </si>
  <si>
    <t>更换压缩机（清华大学15#机组）</t>
  </si>
  <si>
    <t>2018.2.5</t>
  </si>
  <si>
    <t>2018.2.5日一次性支付</t>
  </si>
  <si>
    <t>2018.1.23</t>
  </si>
  <si>
    <t>NHY-20180123-Q-01-01-044</t>
  </si>
  <si>
    <t>捡漏补漏（21号站颐和园）</t>
  </si>
  <si>
    <t>2018.01.23</t>
  </si>
  <si>
    <t>2018.1.06</t>
  </si>
  <si>
    <t>NHY-20180106-Q-01-01-044</t>
  </si>
  <si>
    <t>更换压缩机（香山28号站12#机组）</t>
  </si>
  <si>
    <t>2018.1.13</t>
  </si>
  <si>
    <t>2018.1.13日一次性支付</t>
  </si>
  <si>
    <t>NHY-20180125-Q-02-01-044</t>
  </si>
  <si>
    <t>更换压缩机（香山14#机组）</t>
  </si>
  <si>
    <t>2018.2.2</t>
  </si>
  <si>
    <t>2018.2.2日一次性支付</t>
  </si>
  <si>
    <t>2018.1.08</t>
  </si>
  <si>
    <t>NHY-20180108-Q-03-01-044</t>
  </si>
  <si>
    <t>翅片维修（颐和园21号站4号机组）</t>
  </si>
  <si>
    <t>2018.01.08</t>
  </si>
  <si>
    <t>2018.1.15日一次性支付</t>
  </si>
  <si>
    <t>NHY-20180108-Q-01-01-044</t>
  </si>
  <si>
    <t>站点维修（24台机组汇总）</t>
  </si>
  <si>
    <t>2018.01.15</t>
  </si>
  <si>
    <t>销售配件</t>
  </si>
  <si>
    <t>2018.2.27</t>
  </si>
  <si>
    <t>艾福亿维</t>
  </si>
  <si>
    <t>河北艾福亿维动力总成有限公司</t>
  </si>
  <si>
    <t>过滤器</t>
  </si>
  <si>
    <t>2018.3.5日应回1600元</t>
  </si>
  <si>
    <t>东方文创</t>
  </si>
  <si>
    <t>北京华地恒达物业管理有限公司</t>
  </si>
  <si>
    <t>NHY-20180130-L-01-01-030</t>
  </si>
  <si>
    <t>更换显示屏</t>
  </si>
  <si>
    <t>2018.2.05</t>
  </si>
  <si>
    <t>2018.02.27</t>
  </si>
  <si>
    <t>中科华誉唐山</t>
  </si>
  <si>
    <t>NH-20180227-Q-01-0-044</t>
  </si>
  <si>
    <t>机组维修</t>
  </si>
  <si>
    <t>2018.3.3</t>
  </si>
  <si>
    <t>李劲/</t>
  </si>
  <si>
    <t>2018.3.3日一次性支付</t>
  </si>
  <si>
    <t>能源管理</t>
  </si>
  <si>
    <t>合同能源管理项目</t>
  </si>
  <si>
    <t>2017.11.15</t>
  </si>
  <si>
    <t>2025.11.14</t>
  </si>
  <si>
    <t>王东</t>
  </si>
  <si>
    <t>1-2月份合计</t>
  </si>
  <si>
    <t>2018.3.2</t>
  </si>
  <si>
    <t>环境大厦</t>
  </si>
  <si>
    <t>中国环境报社</t>
  </si>
  <si>
    <t>NHY-20180226-L-01-02-045</t>
  </si>
  <si>
    <t>直燃机维保</t>
  </si>
  <si>
    <t>2018.4.1</t>
  </si>
  <si>
    <t>2019.3.31</t>
  </si>
  <si>
    <t>2018.4.1日应回34800元
2019.3.31日应回34800元</t>
  </si>
  <si>
    <t>NHY-20180226-L-01-01-045</t>
  </si>
  <si>
    <t>空调托管运行</t>
  </si>
  <si>
    <t>2018.2.21</t>
  </si>
  <si>
    <t>2019.2.20</t>
  </si>
  <si>
    <t>2018.3.9日应回99800元
2019.2.20日应回99800元</t>
  </si>
  <si>
    <t>2018.3.30</t>
  </si>
  <si>
    <t>山西三洋</t>
  </si>
  <si>
    <t>山西三洋制冷服务有限合同</t>
  </si>
  <si>
    <t>NHS-20180327-Q-01-01-030</t>
  </si>
  <si>
    <t>购销合同</t>
  </si>
  <si>
    <t>2018.3.27</t>
  </si>
  <si>
    <t>2018.4.7</t>
  </si>
  <si>
    <t>2018.4.2日应收7580元</t>
  </si>
  <si>
    <t>2018.3.28</t>
  </si>
  <si>
    <t>博源置业</t>
  </si>
  <si>
    <t>内蒙古嘉瑞酒店管理有限公司</t>
  </si>
  <si>
    <t>NHY-20180307-L-01-01-030</t>
  </si>
  <si>
    <t>中央空调年度维保</t>
  </si>
  <si>
    <t>2018.4.4日应收26400元
2018.5.15日应收33000元
2019.3.31日应收6600元</t>
  </si>
  <si>
    <t>承德中滦</t>
  </si>
  <si>
    <t>承德中滦煤化工</t>
  </si>
  <si>
    <t>ZL-CL-201803220902</t>
  </si>
  <si>
    <t>6台制冷机维护保养及清洗</t>
  </si>
  <si>
    <t>2019.3.27</t>
  </si>
  <si>
    <t>2019.3.27日应收199000元</t>
  </si>
  <si>
    <t>公益西桥华联</t>
  </si>
  <si>
    <t>北京华联商厦股份有限公司丰台分公司</t>
  </si>
  <si>
    <t>NHY-20180312-L-01-01-045</t>
  </si>
  <si>
    <t>离心机维保合同</t>
  </si>
  <si>
    <t>2018.4.4日应收29395.8
2018.5.10日应收48993
2019.3.31日应收19597.2</t>
  </si>
  <si>
    <t>2018.3.6</t>
  </si>
  <si>
    <t>回龙观华联二店</t>
  </si>
  <si>
    <t>北京华联回龙观购物中心有限公司</t>
  </si>
  <si>
    <t>NHY-20180224-L-01-01-045</t>
  </si>
  <si>
    <t>四台直燃机化学清洗预膜</t>
  </si>
  <si>
    <t>2018.3.16</t>
  </si>
  <si>
    <t>2018.4.16</t>
  </si>
  <si>
    <t>2018.4.16日应收89040</t>
  </si>
  <si>
    <t>技术服务(大修）</t>
  </si>
  <si>
    <t>鼎昆大厦</t>
  </si>
  <si>
    <t>北京融昆房地产顾问有限公司</t>
  </si>
  <si>
    <t>NHY-20180327-L-01-02-030</t>
  </si>
  <si>
    <t>2018.4.27</t>
  </si>
  <si>
    <t>施工完成后付款31000元</t>
  </si>
  <si>
    <t>1-3月份合计</t>
  </si>
  <si>
    <t>1（续）</t>
  </si>
  <si>
    <t>2018.4.4</t>
  </si>
  <si>
    <t>阿奇夏米尔</t>
  </si>
  <si>
    <t>北京阿奇夏米尔工业电子有限公司</t>
  </si>
  <si>
    <t>NHY-20180302-L-01-01-045</t>
  </si>
  <si>
    <t>真空热水机组技术服务合同</t>
  </si>
  <si>
    <t>2018.3.1</t>
  </si>
  <si>
    <t>2019.2.28</t>
  </si>
  <si>
    <t>2018.3.4日应收6000元
201804.15日应收7500元
2019.2.21日应收1500元</t>
  </si>
  <si>
    <t>长城汽车</t>
  </si>
  <si>
    <t>长城汽车股份有限公司</t>
  </si>
  <si>
    <t>DLYJY1800335</t>
  </si>
  <si>
    <t>制冷机组维修保养</t>
  </si>
  <si>
    <t>2018.4.11</t>
  </si>
  <si>
    <t>2019.4.10</t>
  </si>
  <si>
    <t>2018.5.11日应收7931.6
2019.4.10日应收11897.4</t>
  </si>
  <si>
    <t>2018.4.10</t>
  </si>
  <si>
    <t>清华同方</t>
  </si>
  <si>
    <t>北京同方物业管理有限公司</t>
  </si>
  <si>
    <t>NHY-20180320-Q-01-01-030</t>
  </si>
  <si>
    <t>冷却塔填料更换项目</t>
  </si>
  <si>
    <t>2019.4.9</t>
  </si>
  <si>
    <t>2018.4.23日应收95000元
2019.5.18日应收5000元</t>
  </si>
  <si>
    <t>2018.4.20</t>
  </si>
  <si>
    <t>可味美食城</t>
  </si>
  <si>
    <t>北京创新联盟物业管理有限公司</t>
  </si>
  <si>
    <t>NHY-20180313-L-01-01-045</t>
  </si>
  <si>
    <t>中央空调托管运行及维保</t>
  </si>
  <si>
    <t>2018.10.30</t>
  </si>
  <si>
    <t>2018.4.27日应收47500（开收据）
2019.3.15日应收47500</t>
  </si>
  <si>
    <t>2018.4.26</t>
  </si>
  <si>
    <t>西安沃尔玛</t>
  </si>
  <si>
    <t>西安市宏府物业管理有限责任公司</t>
  </si>
  <si>
    <t>NHY-20180415-Q-01-01-056</t>
  </si>
  <si>
    <t>1#直燃机大修</t>
  </si>
  <si>
    <t>2020.4.25</t>
  </si>
  <si>
    <t>卢强</t>
  </si>
  <si>
    <t>2018.5.30日应收119700元
2020.4.25日应收6300元</t>
  </si>
  <si>
    <t>天信亮</t>
  </si>
  <si>
    <t>北京天信亮酒店有限公司</t>
  </si>
  <si>
    <t>NHY-20180309-L-01-03-030</t>
  </si>
  <si>
    <t>开利螺杆机维保技术服务</t>
  </si>
  <si>
    <t>2019.4.20</t>
  </si>
  <si>
    <t>2018.5.24日应收10500元
2018.11.30日应收14000元
2019.4.20日应收10500元</t>
  </si>
  <si>
    <t>2018.5.2</t>
  </si>
  <si>
    <t>NHY-20180502-W-01-01-02</t>
  </si>
  <si>
    <t>更换压缩机保护板</t>
  </si>
  <si>
    <t>2018.5.12</t>
  </si>
  <si>
    <t>2018.5.24日应收5270元</t>
  </si>
  <si>
    <t>新星石油</t>
  </si>
  <si>
    <t>中国石油集团新星石油有限责任公司业兴分公司</t>
  </si>
  <si>
    <t>NHY-20180408-Q-01-01-045</t>
  </si>
  <si>
    <t>风冷活塞机等空调设备清洗及年度维保</t>
  </si>
  <si>
    <t>2018.3.31</t>
  </si>
  <si>
    <t>2018.4.1日支付34500元
2019.3.31日支付34500元</t>
  </si>
  <si>
    <t>技术服务</t>
  </si>
  <si>
    <t>2018.4.12</t>
  </si>
  <si>
    <t>通厦</t>
  </si>
  <si>
    <t>北京通厦新奥物业管理有限公司</t>
  </si>
  <si>
    <t>NHY-20180412-L-01-01-030</t>
  </si>
  <si>
    <t>双良直燃机维修</t>
  </si>
  <si>
    <t>陈勇</t>
  </si>
  <si>
    <t>维修完成验收合格后</t>
  </si>
  <si>
    <t>技术服务（清洗）</t>
  </si>
  <si>
    <t>蜀国演义</t>
  </si>
  <si>
    <t>北京味还行家常菜馆有限责任公司</t>
  </si>
  <si>
    <t>2018.4.19</t>
  </si>
  <si>
    <t>；</t>
  </si>
  <si>
    <t>清洗完成验收合格后付款(开收据）</t>
  </si>
  <si>
    <t>2018.4.23</t>
  </si>
  <si>
    <t>餐饮中心</t>
  </si>
  <si>
    <t>北京大学餐饮中心NHY-20180423</t>
  </si>
  <si>
    <t>NHY-20180423-L-019</t>
  </si>
  <si>
    <t>锅炉清洗</t>
  </si>
  <si>
    <t>2018.5.1</t>
  </si>
  <si>
    <t>清洗完成后付全款</t>
  </si>
  <si>
    <t>技术服务（维修）</t>
  </si>
  <si>
    <t>2018.3.12</t>
  </si>
  <si>
    <t>星罗城</t>
  </si>
  <si>
    <t>三河星罗城购物中心有限公司</t>
  </si>
  <si>
    <t>直燃机维修</t>
  </si>
  <si>
    <t>清洗完成后付款</t>
  </si>
  <si>
    <t>艺宫酒店</t>
  </si>
  <si>
    <t>北京将台艺宫酒店管理有限公司</t>
  </si>
  <si>
    <t>NHG-20171203-W-01-01-001</t>
  </si>
  <si>
    <t>新旧直燃机拆除安装</t>
  </si>
  <si>
    <t>2018.4.5</t>
  </si>
  <si>
    <t>2018.4.25</t>
  </si>
  <si>
    <t>张立坤</t>
  </si>
  <si>
    <t>安装完成后付款</t>
  </si>
  <si>
    <t>烟气余热回收及水泵改造</t>
  </si>
  <si>
    <t>1-4月份合计</t>
  </si>
  <si>
    <t>2018.5.8</t>
  </si>
  <si>
    <t>九鼎仰山公园</t>
  </si>
  <si>
    <t>九鼎集团</t>
  </si>
  <si>
    <t>NHY-20180224-W-01-014-001</t>
  </si>
  <si>
    <t>直燃机捡漏补漏</t>
  </si>
  <si>
    <t>2018.2.25</t>
  </si>
  <si>
    <t>2018.4.30</t>
  </si>
  <si>
    <t>2018.4.30应收10000元</t>
  </si>
  <si>
    <t>朝阳区规划艺术馆</t>
  </si>
  <si>
    <t>北京市朝阳区规划艺术馆</t>
  </si>
  <si>
    <t>空调系统水泵更新合同</t>
  </si>
  <si>
    <t>2018.5.19</t>
  </si>
  <si>
    <t>2018.5.5日应收139500；
验收合同后收113246.55</t>
  </si>
  <si>
    <t>3（续）</t>
  </si>
  <si>
    <t>2018.5.11</t>
  </si>
  <si>
    <t>中牧实业</t>
  </si>
  <si>
    <t>中牧实业股份有限公司</t>
  </si>
  <si>
    <t>NHY-20180312-L-01-01-030</t>
  </si>
  <si>
    <t>空调维保托管协议</t>
  </si>
  <si>
    <t>2018.4.20日收44467元
2019.3.31日收44467元</t>
  </si>
  <si>
    <t>4（续）</t>
  </si>
  <si>
    <t>2018.5.14</t>
  </si>
  <si>
    <t>和乔丽晶</t>
  </si>
  <si>
    <t>北京君顺和技术服务有限公司</t>
  </si>
  <si>
    <t>NHY-20180402-L-01-02-030</t>
  </si>
  <si>
    <t>直燃机年度维保合同</t>
  </si>
  <si>
    <t>2019.4.30</t>
  </si>
  <si>
    <t>2018.5.1日收6000元
2018.5.15日收10000元
2019.4.30日收4000元</t>
  </si>
  <si>
    <t>2018.5.28</t>
  </si>
  <si>
    <t>电子冷组</t>
  </si>
  <si>
    <t>文化都汇</t>
  </si>
  <si>
    <t>北京市文化置业有限公司</t>
  </si>
  <si>
    <t>NHY-20180426-W-01-01-056</t>
  </si>
  <si>
    <t>制冷机年度维保</t>
  </si>
  <si>
    <t>2018.5.21</t>
  </si>
  <si>
    <t>2019.5.20</t>
  </si>
  <si>
    <t>2018.5.14日收31500元
2019.6.30日收73500元</t>
  </si>
  <si>
    <t>6（续）</t>
  </si>
  <si>
    <t>京东方</t>
  </si>
  <si>
    <t>北京京东方物业发展有限公司</t>
  </si>
  <si>
    <t>NHY-20180328-L-01-01-030</t>
  </si>
  <si>
    <t>溴化锂制冷机维保合同</t>
  </si>
  <si>
    <t>2018.5.10日收6600元
2018.5.30日收13200元
2019.5.10日收2200元</t>
  </si>
  <si>
    <t>工程类</t>
  </si>
  <si>
    <t>龙德紫金</t>
  </si>
  <si>
    <t>北京龙德商业管理有限公司</t>
  </si>
  <si>
    <t>NHG-20180201-Q-01-01-001</t>
  </si>
  <si>
    <t>空调工程改造</t>
  </si>
  <si>
    <t>2018.5.10</t>
  </si>
  <si>
    <t>工程验收后付款</t>
  </si>
  <si>
    <t>国粹苑</t>
  </si>
  <si>
    <t>北京同方科讯开发有限公司</t>
  </si>
  <si>
    <t>NHY-20180510-L-01-01-030</t>
  </si>
  <si>
    <t>国粹苑3#机组进水维修</t>
  </si>
  <si>
    <t>2018.5.15</t>
  </si>
  <si>
    <t>清洗完成验收后付款</t>
  </si>
  <si>
    <t>香岩寺和海育大厦</t>
  </si>
  <si>
    <t>北京英才岱宏图文化发展中心有限公司</t>
  </si>
  <si>
    <t>NHY-20180423-Q-01-02-001(海）/NHY-20180326-W-01-01-001(香）</t>
  </si>
  <si>
    <t>海育大厦和香岩寺螺杆机、锅炉、冷却塔年度维保</t>
  </si>
  <si>
    <t>2018.5.5</t>
  </si>
  <si>
    <t>2019.5.5</t>
  </si>
  <si>
    <t>徐利斌</t>
  </si>
  <si>
    <t>2018.5.3日收58200元
2019.5.5日收38800元</t>
  </si>
  <si>
    <t>香岩寺</t>
  </si>
  <si>
    <t>NHY-20180326-W-01-01-001(香）</t>
  </si>
  <si>
    <t>锅炉维保</t>
  </si>
  <si>
    <t>金三环</t>
  </si>
  <si>
    <t>北京金三环宾馆</t>
  </si>
  <si>
    <t>NHY-20180503-L-01-01-030</t>
  </si>
  <si>
    <t>直燃机维保技术服务费</t>
  </si>
  <si>
    <t>2018.5.5日收32200元
2019.4.30日收13800元</t>
  </si>
  <si>
    <t>技术服务（大修）</t>
  </si>
  <si>
    <t>宣钢</t>
  </si>
  <si>
    <t>宣化钢铁集团有限责任公司</t>
  </si>
  <si>
    <t>设备修理</t>
  </si>
  <si>
    <t>2018.4.15</t>
  </si>
  <si>
    <t>2018.5.15日收626400元
2019.5.15日收69600元</t>
  </si>
  <si>
    <t>2018.5.24</t>
  </si>
  <si>
    <t>鼎坤</t>
  </si>
  <si>
    <t>NHY-20180524-L-01-02-030</t>
  </si>
  <si>
    <t>直燃机配件销售</t>
  </si>
  <si>
    <t>2018.6.24</t>
  </si>
  <si>
    <t>HCFE17-002</t>
  </si>
  <si>
    <t>真空泵销售</t>
  </si>
  <si>
    <t>2018.5.18</t>
  </si>
  <si>
    <t>2018.5.22</t>
  </si>
  <si>
    <t>货到付款</t>
  </si>
  <si>
    <t>泰丰国际</t>
  </si>
  <si>
    <t>成都家园经营管理有限公司第一分公司</t>
  </si>
  <si>
    <t>NHY-20180404-01-01-045</t>
  </si>
  <si>
    <t>油加热器</t>
  </si>
  <si>
    <t>2018.5.16</t>
  </si>
  <si>
    <t>中轴</t>
  </si>
  <si>
    <t>北京万铭酒店物业管理有限公司</t>
  </si>
  <si>
    <t>NHS-20180516-KF-01-01-001</t>
  </si>
  <si>
    <t>维修317室空调机组漏氟压力不足报警停机</t>
  </si>
  <si>
    <t>卢志强</t>
  </si>
  <si>
    <t>维修完成后付款（已开收据）</t>
  </si>
  <si>
    <t>NHY-20180515-L-01-01-030</t>
  </si>
  <si>
    <t>更换真空泵</t>
  </si>
  <si>
    <t>2018.6.15</t>
  </si>
  <si>
    <t>更换完成后付款</t>
  </si>
  <si>
    <t>2018.5.3</t>
  </si>
  <si>
    <t xml:space="preserve">九鼎 </t>
  </si>
  <si>
    <t>华润置地（北京）物业管理有限责任公司</t>
  </si>
  <si>
    <t>2018.6.3</t>
  </si>
  <si>
    <t>2018.5.5日付6000元（微信转账）
合同签订后付7000元</t>
  </si>
  <si>
    <t>技术服务（维保维修）</t>
  </si>
  <si>
    <t>天下第一城</t>
  </si>
  <si>
    <t>中信国安第一城国际会议展览有限公司</t>
  </si>
  <si>
    <t>直燃机维保检修</t>
  </si>
  <si>
    <t>2018.7.30</t>
  </si>
  <si>
    <t>2018.5.1日付65160
2018.8.1日付228060
2019.5.1日付32580</t>
  </si>
  <si>
    <t>荣辉</t>
  </si>
  <si>
    <t>电制冷组</t>
  </si>
  <si>
    <t>政法大学昌平校区</t>
  </si>
  <si>
    <t>北京明法阁文化交流有限公司</t>
  </si>
  <si>
    <t>水处理</t>
  </si>
  <si>
    <t>2018.9.15</t>
  </si>
  <si>
    <t>2018.9.15日收3800元</t>
  </si>
  <si>
    <t>NHY-20180514-Q-01-01-045</t>
  </si>
  <si>
    <t>中央空调销售配件维修服务</t>
  </si>
  <si>
    <t>2018.6.14</t>
  </si>
  <si>
    <t>王东东</t>
  </si>
  <si>
    <t>验收合格收付款</t>
  </si>
  <si>
    <t>1-5月份合计</t>
  </si>
  <si>
    <t>2018.06.05</t>
  </si>
  <si>
    <t>汇金中心</t>
  </si>
  <si>
    <t>北京中安兴徽置业发展有限公司</t>
  </si>
  <si>
    <t>NHY-20180507-X-01-01-045</t>
  </si>
  <si>
    <t>2019.6.14</t>
  </si>
  <si>
    <t>2018.6.22日收13475元
2019.6.14日收5775元</t>
  </si>
  <si>
    <t>2018.6.6</t>
  </si>
  <si>
    <t>NHY-20180512-L-01-01-030</t>
  </si>
  <si>
    <t>中央空调冷却水处理合同</t>
  </si>
  <si>
    <t>2018.10.15</t>
  </si>
  <si>
    <t>2018.6.16日收7000元
2018.10.15日收7000元</t>
  </si>
  <si>
    <t>东亿传媒</t>
  </si>
  <si>
    <t>北京东亿方元物业管理有限公司</t>
  </si>
  <si>
    <t>NHY-20180404-L-01-01-030</t>
  </si>
  <si>
    <t>直燃机、锅炉化学清洗预膜服务合同</t>
  </si>
  <si>
    <t>2018.4.24</t>
  </si>
  <si>
    <t>2018.5.1日收41700元</t>
  </si>
  <si>
    <t>聚富宫</t>
  </si>
  <si>
    <t xml:space="preserve">北京聚富圣会国际商务中心 </t>
  </si>
  <si>
    <t>NHY-20180604-L-01-01-049</t>
  </si>
  <si>
    <t>2018.06.01</t>
  </si>
  <si>
    <t>2019.05.31</t>
  </si>
  <si>
    <t>2018.6.8日收6400元
2018.12.1日收6400元
2019.5.31日收3200元</t>
  </si>
  <si>
    <t>5（续）</t>
  </si>
  <si>
    <t>2018.6.29</t>
  </si>
  <si>
    <t>华亨</t>
  </si>
  <si>
    <t>瑞成盛达商业管理有限公司</t>
  </si>
  <si>
    <t>NHY-20180604-L-01-02-049</t>
  </si>
  <si>
    <t>2018.6.1</t>
  </si>
  <si>
    <t>2019.5.31</t>
  </si>
  <si>
    <t>2018.6.5日收13200元
2019.3.31日收26400元
2019.5.31日收4400元</t>
  </si>
  <si>
    <t xml:space="preserve"> </t>
  </si>
  <si>
    <t>6（续)</t>
  </si>
  <si>
    <t>北京大学餐饮中心</t>
  </si>
  <si>
    <t>NHY-20180423-L-01-01-030</t>
  </si>
  <si>
    <t>锅炉年度维保</t>
  </si>
  <si>
    <t>2019.5.4</t>
  </si>
  <si>
    <t>2018.6.5日收6000元
2019.5.4日收6000元</t>
  </si>
  <si>
    <t>新农创</t>
  </si>
  <si>
    <t>中投新业（北京）投资管理有限公司</t>
  </si>
  <si>
    <t>NHY-20180628-Q-01-01-030</t>
  </si>
  <si>
    <t>2018.6.28</t>
  </si>
  <si>
    <t>2018.7.8</t>
  </si>
  <si>
    <t>2018.6.29日收6000元</t>
  </si>
  <si>
    <t>2018.6.20</t>
  </si>
  <si>
    <t>电子科技城</t>
  </si>
  <si>
    <t>北京电子城物业管理有限公司</t>
  </si>
  <si>
    <t>BEZFM-181671011137</t>
  </si>
  <si>
    <t>2018.5.01</t>
  </si>
  <si>
    <t>2018.5.31日收7500元
2018.7.31日收7500元
2018.10.31日收7500元
2019.1.31日收7500元</t>
  </si>
  <si>
    <t>技术服务（维修)</t>
  </si>
  <si>
    <t>2018.7.19</t>
  </si>
  <si>
    <t>西便门3#机内漏处理方案</t>
  </si>
  <si>
    <t>验收合格后付款</t>
  </si>
  <si>
    <t>NHY-20180601-L-01-01-030</t>
  </si>
  <si>
    <t>2台直燃机大修</t>
  </si>
  <si>
    <t>2018.7.17</t>
  </si>
  <si>
    <t>10（荣辉）</t>
  </si>
  <si>
    <t xml:space="preserve">销售 </t>
  </si>
  <si>
    <t>霸州国土局</t>
  </si>
  <si>
    <t>霸州市国土资源局</t>
  </si>
  <si>
    <t>RHS-20180611-L-01-02-001</t>
  </si>
  <si>
    <t>更换燃气阀组</t>
  </si>
  <si>
    <t>2018.6.30</t>
  </si>
  <si>
    <t>施工完成后付款</t>
  </si>
  <si>
    <t>11（荣辉）</t>
  </si>
  <si>
    <t>RHS-20180604-L-01-01-001</t>
  </si>
  <si>
    <t>更换电机</t>
  </si>
  <si>
    <t>技术服务（维保）</t>
  </si>
  <si>
    <t>NHY-20180605-L-01-01-049</t>
  </si>
  <si>
    <t>2018.9.15日收15000元
2019.6.14日收15000元</t>
  </si>
  <si>
    <t>龙德广场</t>
  </si>
  <si>
    <t>HT-BJLDSY-GC-2018-32</t>
  </si>
  <si>
    <t>中央空调节能改造工程合同</t>
  </si>
  <si>
    <t>2018.9.19</t>
  </si>
  <si>
    <t>2018.10.08</t>
  </si>
  <si>
    <t>2018.9.25日应回132892.5元
工程完工付265785元
签订验收单后付232561.87
质保二年后付33223.12</t>
  </si>
  <si>
    <t>富力万丽</t>
  </si>
  <si>
    <t>合同未签回</t>
  </si>
  <si>
    <t>1-6月份合计</t>
  </si>
  <si>
    <t>2018.7.4</t>
  </si>
  <si>
    <t>富达广场</t>
  </si>
  <si>
    <t>三河市富达广场购物中心有限责任公司</t>
  </si>
  <si>
    <t>NHY-20180403-Q-01-01-001</t>
  </si>
  <si>
    <t>螺杆机清洗预膜、维保</t>
  </si>
  <si>
    <t>合同签订后付60900元
维修完成后付17400元
合同</t>
  </si>
  <si>
    <t>2018.7.2</t>
  </si>
  <si>
    <t>都会国际</t>
  </si>
  <si>
    <t>北京国泰首安建设工程有限公司</t>
  </si>
  <si>
    <t>NHY-20180528-W-01-01-049</t>
  </si>
  <si>
    <t>离心机冷凝器化学清洗</t>
  </si>
  <si>
    <t>2018..5.23</t>
  </si>
  <si>
    <t>2018.5.23</t>
  </si>
  <si>
    <t>清洗完成验收后付全款</t>
  </si>
  <si>
    <t>2018.7.18</t>
  </si>
  <si>
    <t>百川燃气</t>
  </si>
  <si>
    <t>三河市百川新能源有限公司</t>
  </si>
  <si>
    <t>NHY-20180718-L-01-01-049</t>
  </si>
  <si>
    <t>冷却塔更换电机、风扇轴承、冷却塔填料布水盘清洗项目</t>
  </si>
  <si>
    <t>2018.7.23</t>
  </si>
  <si>
    <t>2018.7.20</t>
  </si>
  <si>
    <t>燕郊印刷厂</t>
  </si>
  <si>
    <t>三阖中印印刷器材有限公司</t>
  </si>
  <si>
    <t>NHY-20180716-L-01-01-030</t>
  </si>
  <si>
    <t>离心机冷凝器清洗预膜</t>
  </si>
  <si>
    <t>2018.7.16</t>
  </si>
  <si>
    <t>天宝新都汇</t>
  </si>
  <si>
    <t>NHY-20180718-L-01-01-030</t>
  </si>
  <si>
    <t>同方川崎直燃机吸收器、冷凝器清洗预膜</t>
  </si>
  <si>
    <t>2018.7.22</t>
  </si>
  <si>
    <t>6（荣辉）</t>
  </si>
  <si>
    <t>国勤</t>
  </si>
  <si>
    <t>国勤绿城（北京）资产管理有限公司</t>
  </si>
  <si>
    <t>RHS-20180713-L-01-02-049</t>
  </si>
  <si>
    <t>直燃机年度维保技术服务</t>
  </si>
  <si>
    <t>2019.7.19</t>
  </si>
  <si>
    <t>2018.7.22日支付11000元
2019.1.13日支付5500元
2019.7.19日支付11000元</t>
  </si>
  <si>
    <t>2018.7.1</t>
  </si>
  <si>
    <t>中坤广场</t>
  </si>
  <si>
    <t xml:space="preserve">北京大钟寺国际广场物业管理有限公司   </t>
  </si>
  <si>
    <t>NHY-20170731-Q-01-01-001</t>
  </si>
  <si>
    <t>直燃机大修维保</t>
  </si>
  <si>
    <t>2018.7.3</t>
  </si>
  <si>
    <t>2020.7.3</t>
  </si>
  <si>
    <t>2018.7.20日支付120000元
清洗预膜结束验收后付120000元
2018.8.30日支付80000元
2019.4.1日支付40000元
2020.5.1日支付40000元（剩余16万打了八折）</t>
  </si>
  <si>
    <t>2018.7.27</t>
  </si>
  <si>
    <t>北京医院</t>
  </si>
  <si>
    <t>NHS-20180508-L-01-01-001</t>
  </si>
  <si>
    <t>直燃机维修技术服务</t>
  </si>
  <si>
    <t>2020.7.27</t>
  </si>
  <si>
    <t>2018.7.27日收25500元
验收合格后收55250元
质保完成后收4250元</t>
  </si>
  <si>
    <t>2018.8.6</t>
  </si>
  <si>
    <t>NHY-20180806-L-01-01-065</t>
  </si>
  <si>
    <t>更换转换阀配件</t>
  </si>
  <si>
    <t>2018.8.15</t>
  </si>
  <si>
    <t>温度传感器更换</t>
  </si>
  <si>
    <t>NHY-20180701-L-01-02-065</t>
  </si>
  <si>
    <t>更换燃烧机点火电极</t>
  </si>
  <si>
    <t>2018.7.25</t>
  </si>
  <si>
    <t>2018.7.31</t>
  </si>
  <si>
    <t>安装调试完成后付款</t>
  </si>
  <si>
    <t>霸州法院</t>
  </si>
  <si>
    <t>霸州市人民法院</t>
  </si>
  <si>
    <t>NHY-20180701-Q-02-01-001</t>
  </si>
  <si>
    <t>直燃机高发高温报警检修</t>
  </si>
  <si>
    <t>2018.7.12</t>
  </si>
  <si>
    <t>验收合格后</t>
  </si>
  <si>
    <t>技术服务(清洗）</t>
  </si>
  <si>
    <t>通惠大厦</t>
  </si>
  <si>
    <t>NHY-20180718-L-01-02-049</t>
  </si>
  <si>
    <t>机组清洗</t>
  </si>
  <si>
    <t>2018.8.1</t>
  </si>
  <si>
    <t>14（荣辉）</t>
  </si>
  <si>
    <t>2018.7.13</t>
  </si>
  <si>
    <t>中电兴发</t>
  </si>
  <si>
    <t>北京中电兴发科技有限公司</t>
  </si>
  <si>
    <t>RHS-20180713-L-01-01-049</t>
  </si>
  <si>
    <t>更换冷却塔风扇</t>
  </si>
  <si>
    <t>2018.7.24</t>
  </si>
  <si>
    <t>维修类</t>
  </si>
  <si>
    <t>NHY-20180723-W-01-01</t>
  </si>
  <si>
    <t>冷却塔维修</t>
  </si>
  <si>
    <t>维修完成后付款</t>
  </si>
  <si>
    <t>维保类</t>
  </si>
  <si>
    <t>NHY-20180703-L-01-01-030</t>
  </si>
  <si>
    <t>锅炉直燃机年度维保技术服务</t>
  </si>
  <si>
    <t>2019.7.17</t>
  </si>
  <si>
    <t>2018.7.21日收24600元
2019.7.17日收24600元</t>
  </si>
  <si>
    <t>销售特灵空调配件</t>
  </si>
  <si>
    <t>2018.8.19</t>
  </si>
  <si>
    <t>1-7月份合计</t>
  </si>
  <si>
    <t>2018.8.7</t>
  </si>
  <si>
    <t>NHY-20180612-L-01-01-030</t>
  </si>
  <si>
    <t>2018.8.9日收7500元
2019.7.17日收7500元</t>
  </si>
  <si>
    <t>NHY-20180807-L-01-01-049</t>
  </si>
  <si>
    <t>2019.7.31</t>
  </si>
  <si>
    <t>2018.9.15日收8000元
2019.7.31日收8000元</t>
  </si>
  <si>
    <t>3（金科汇海）</t>
  </si>
  <si>
    <t>2018.8.4</t>
  </si>
  <si>
    <t>豪庭酒店</t>
  </si>
  <si>
    <t>北京聚佳豪庭酒店管理有限公司</t>
  </si>
  <si>
    <t>NHY-20180804-L-01-01-049</t>
  </si>
  <si>
    <t>2018.8.14</t>
  </si>
  <si>
    <t>2018.8.20日收45000元</t>
  </si>
  <si>
    <t>2018.8.24</t>
  </si>
  <si>
    <t>走报销</t>
  </si>
  <si>
    <t>华通大厦</t>
  </si>
  <si>
    <t>北京华通鸿达物业服务有限责任公司</t>
  </si>
  <si>
    <t>直燃机维修项目</t>
  </si>
  <si>
    <t>2018.9.04</t>
  </si>
  <si>
    <t>2018.8.24日收26500元
2018.9.7日收23850元
2019.8.24日收2650元</t>
  </si>
  <si>
    <t>2018.8.20</t>
  </si>
  <si>
    <t>李君（2年）</t>
  </si>
  <si>
    <t>2018-33</t>
  </si>
  <si>
    <t>中央空调年度维保合同</t>
  </si>
  <si>
    <t>2018.7.10</t>
  </si>
  <si>
    <t>2020.7.9</t>
  </si>
  <si>
    <t>2018.12.30日收67500
2019.6.30日收84500元
2019.12.30日收67500元
2020.07.30日收84500元</t>
  </si>
  <si>
    <t>崇文门物美</t>
  </si>
  <si>
    <t>乐天超市有限公司</t>
  </si>
  <si>
    <t>NHY-20180723-W-01-01-001</t>
  </si>
  <si>
    <t>中央空调维修</t>
  </si>
  <si>
    <t>2018.8.13</t>
  </si>
  <si>
    <t>2018.8.30</t>
  </si>
  <si>
    <t>验收合格后收107000元</t>
  </si>
  <si>
    <t>NHY-20180712-L-01-01-030</t>
  </si>
  <si>
    <t>2018.8.6日收7500元
2018.10.31日收4500元
2019.7.31日收3000元</t>
  </si>
  <si>
    <t>首商伟业</t>
  </si>
  <si>
    <t>北京首商伟业商贸有限公司</t>
  </si>
  <si>
    <t>NHY-20180704-L-01-01-030</t>
  </si>
  <si>
    <t>运行类</t>
  </si>
  <si>
    <t>亦庄二中</t>
  </si>
  <si>
    <t>北京同顺久恒科技发展有限公司</t>
  </si>
  <si>
    <t>NHY-20180712-L-01-01-049</t>
  </si>
  <si>
    <t>中央空调运行合同</t>
  </si>
  <si>
    <t>2018.9.5日收78228元
2019.2.28日收78228元
2019.7.31日收39114元</t>
  </si>
  <si>
    <t>2018.9.2</t>
  </si>
  <si>
    <t>NHY-20180830-L-01-01-030</t>
  </si>
  <si>
    <t>2019.6.30</t>
  </si>
  <si>
    <t>2018.9.5日收10200元
2018.11.20日收17000元
2019.6.30日收6800元</t>
  </si>
  <si>
    <t>销售压力表</t>
  </si>
  <si>
    <t>2018.8.30日收3780元</t>
  </si>
  <si>
    <t>NHY-20180814-L-01-02-030</t>
  </si>
  <si>
    <t>销售温度传感器</t>
  </si>
  <si>
    <t>1-8月份合计</t>
  </si>
  <si>
    <t>..</t>
  </si>
  <si>
    <t>2018.9.10</t>
  </si>
  <si>
    <t>美同达</t>
  </si>
  <si>
    <t>北京美同达科技有限公司</t>
  </si>
  <si>
    <t>RHY-20180907-W-01-01-001</t>
  </si>
  <si>
    <t>溴化锂购销合同</t>
  </si>
  <si>
    <t>2018.9.7</t>
  </si>
  <si>
    <t>2018.9.10日收51500</t>
  </si>
  <si>
    <t>2018.9.27</t>
  </si>
  <si>
    <t>行宫酒店</t>
  </si>
  <si>
    <t>北京太宫国际酒店管理有限责任公司</t>
  </si>
  <si>
    <t>NHY-20180817-L-01-01-049</t>
  </si>
  <si>
    <t>2018.5.5日付8400元
2019.4.30日付5600元</t>
  </si>
  <si>
    <t>2018.10.9</t>
  </si>
  <si>
    <t>中泽农</t>
  </si>
  <si>
    <t>北京顺华房地产开发有限公司</t>
  </si>
  <si>
    <t>NHY-20180814-L-01-01-049</t>
  </si>
  <si>
    <t>2019.8.14</t>
  </si>
  <si>
    <t>2018.10.10日收11500元，（普票）
2019.8.14日收11500元</t>
  </si>
  <si>
    <t>销售维修类</t>
  </si>
  <si>
    <t>劝宝新都汇</t>
  </si>
  <si>
    <t>NHY-20180902-L-01-01-030</t>
  </si>
  <si>
    <t>直燃机配件销售维修</t>
  </si>
  <si>
    <t>2018.9.20</t>
  </si>
  <si>
    <t>维修完成后支付（普票）</t>
  </si>
  <si>
    <t>1-9月份合计</t>
  </si>
  <si>
    <t>维保清洗类</t>
  </si>
  <si>
    <t>2018.10.12</t>
  </si>
  <si>
    <t>华春新能源</t>
  </si>
  <si>
    <t>天津市华春新能源技术发展有限公司</t>
  </si>
  <si>
    <t>NHY-20180911-L-01-01-030</t>
  </si>
  <si>
    <t>吸收式热泵年度维保</t>
  </si>
  <si>
    <t>2018.11.1</t>
  </si>
  <si>
    <t>2019.3.30</t>
  </si>
  <si>
    <t>2018.10.15日付13149.3元
2019.3.30日付13149.3元</t>
  </si>
  <si>
    <t>金科汇海</t>
  </si>
  <si>
    <t>JKHH-20180928-L-01-01-049</t>
  </si>
  <si>
    <t>2019.10.14</t>
  </si>
  <si>
    <t>2018.10.17日付13000元
2019.10.14日付13000元</t>
  </si>
  <si>
    <t>2018.10.23</t>
  </si>
  <si>
    <t>NHY-20180913-L-01-03-030</t>
  </si>
  <si>
    <t>空压机维保合同</t>
  </si>
  <si>
    <t>2018.10.1</t>
  </si>
  <si>
    <t>2019.9.30</t>
  </si>
  <si>
    <t>2018.10.23日付6000元
2019.9.30日付6000元</t>
  </si>
  <si>
    <t>NHY-20180913-L-01-01-030</t>
  </si>
  <si>
    <t>冷却塔维保</t>
  </si>
  <si>
    <t>2018.12.8</t>
  </si>
  <si>
    <t>2019.12.7</t>
  </si>
  <si>
    <t>2018.12.8日付5500元
2019.12.7日付5500元</t>
  </si>
  <si>
    <t>NHY-20180913-L-01-02-030</t>
  </si>
  <si>
    <t>螺杆机维保</t>
  </si>
  <si>
    <t>2018.10.1日付19500元
2019.9.30日付19500元</t>
  </si>
  <si>
    <t>2018.10.24</t>
  </si>
  <si>
    <t>古文化广场</t>
  </si>
  <si>
    <t>RHGC-2018-10-19</t>
  </si>
  <si>
    <t>空调管道改造合同</t>
  </si>
  <si>
    <t>2018.11.4</t>
  </si>
  <si>
    <t>2018.10.24日付24000元
2018.11.4日付16000元</t>
  </si>
  <si>
    <t>7（荣辉）</t>
  </si>
  <si>
    <t>2018.10.26</t>
  </si>
  <si>
    <t>皇城国际</t>
  </si>
  <si>
    <t>北京信翔恒瑞物业管理有限责任公司</t>
  </si>
  <si>
    <t>NHY-20181011-L-01-03-030</t>
  </si>
  <si>
    <t>真空锅炉维修</t>
  </si>
  <si>
    <t>2018.10.20</t>
  </si>
  <si>
    <t>2018.10.27</t>
  </si>
  <si>
    <t>维修完成后付4500元</t>
  </si>
  <si>
    <t>NHY-20171009-KF-01-01-030</t>
  </si>
  <si>
    <t>真空锅炉年度维保</t>
  </si>
  <si>
    <t>2019.4.1</t>
  </si>
  <si>
    <t>2018.10.26日付13000元
2019.4.1日付13000元</t>
  </si>
  <si>
    <t>9（荣辉）</t>
  </si>
  <si>
    <t>2018.10.19</t>
  </si>
  <si>
    <t>RH-20181019-L-01-01-049</t>
  </si>
  <si>
    <t>更换溶液泵</t>
  </si>
  <si>
    <t>2019.10.26</t>
  </si>
  <si>
    <t>NHY-20181026-L-01-01-030</t>
  </si>
  <si>
    <t>销售油过滤器</t>
  </si>
  <si>
    <t>NHY-20181024-L-01-01-049</t>
  </si>
  <si>
    <t>销售管路过滤器</t>
  </si>
  <si>
    <t>安康制冷</t>
  </si>
  <si>
    <t>安康合丰制冷设备有限公司</t>
  </si>
  <si>
    <t>RH-20181026-X-01-01-049</t>
  </si>
  <si>
    <t>1-10月份合计</t>
  </si>
  <si>
    <t>2018.11.2</t>
  </si>
  <si>
    <t>西直门华电</t>
  </si>
  <si>
    <t>中国华电科工集团有限公司</t>
  </si>
  <si>
    <t>NHY-20180823-L-01-01-049</t>
  </si>
  <si>
    <t>2018.9.1</t>
  </si>
  <si>
    <t>2019.8.30</t>
  </si>
  <si>
    <t>2018.10.30日前支付15000元
2019.9.19日前支付15000元</t>
  </si>
  <si>
    <t>2018.11.08</t>
  </si>
  <si>
    <t>NHY-20180806-L-01-01-049</t>
  </si>
  <si>
    <t>2019.10.31</t>
  </si>
  <si>
    <t>2018.11.5日前付15000元
2019.10.31日前付15000元</t>
  </si>
  <si>
    <t>维修</t>
  </si>
  <si>
    <t>2018.11.09</t>
  </si>
  <si>
    <t>北京市城堡物业管理有限公司</t>
  </si>
  <si>
    <t>NHY-20180525-W-01-01-001</t>
  </si>
  <si>
    <t>亚太螺杆机组大修</t>
  </si>
  <si>
    <t>2018.10.25</t>
  </si>
  <si>
    <t>2018.11.5</t>
  </si>
  <si>
    <t>维修验收合格后付22401元
2019.10.质保金1179元</t>
  </si>
  <si>
    <t>2018.11.8</t>
  </si>
  <si>
    <t>NHY-20181016-L-01-01-049</t>
  </si>
  <si>
    <t>2018.11.4日付9100元
2019.10.31日付9100元</t>
  </si>
  <si>
    <t>2018.11.19</t>
  </si>
  <si>
    <t>海联物业</t>
  </si>
  <si>
    <t>北京海联物业管理有限公司</t>
  </si>
  <si>
    <t>NHY-20181031-L-01-01-049</t>
  </si>
  <si>
    <t>直燃机维保，水处理</t>
  </si>
  <si>
    <t>2019.11.10</t>
  </si>
  <si>
    <t>2018.11.19日付14840元
2019.11.10日付6360元</t>
  </si>
  <si>
    <t>2018.11.21</t>
  </si>
  <si>
    <t>东环供暖</t>
  </si>
  <si>
    <t>北京东环供暖中心</t>
  </si>
  <si>
    <t>NHY-20181107-L-01-01-049</t>
  </si>
  <si>
    <t>吸收式热泵和锅炉维保</t>
  </si>
  <si>
    <t>2018.11.15</t>
  </si>
  <si>
    <t>2019.11.14</t>
  </si>
  <si>
    <t>2018.11.30日付20000元
2019.11.14日付30000元</t>
  </si>
  <si>
    <t>2018.11.26</t>
  </si>
  <si>
    <t>正定水上乐园</t>
  </si>
  <si>
    <t>石家庄大义机电设备有限公司</t>
  </si>
  <si>
    <t>RH-20181119-Q-01-01-030</t>
  </si>
  <si>
    <t>2018.12.16</t>
  </si>
  <si>
    <t>2018.11.26日付14000元
2018.12.16日付14000元</t>
  </si>
  <si>
    <t>2018.11.28</t>
  </si>
  <si>
    <t>2019.4.30日付69600元</t>
  </si>
  <si>
    <t>维保</t>
  </si>
  <si>
    <t>万科星园</t>
  </si>
  <si>
    <t>北京万科物业服务有限公司</t>
  </si>
  <si>
    <t>VS-BU1-GC-01-V1-BJWY-1811-0250-01</t>
  </si>
  <si>
    <t>万科星园锅炉维保</t>
  </si>
  <si>
    <t>2019.3.15日付95%
2019.11.14日付5%</t>
  </si>
  <si>
    <t>西山庭院</t>
  </si>
  <si>
    <t>VS-BU1-GC-01-V1-BJWY-1811</t>
  </si>
  <si>
    <t>万科西山庭院锅炉维修</t>
  </si>
  <si>
    <t>2018.11.20</t>
  </si>
  <si>
    <t>2018.12.20</t>
  </si>
  <si>
    <t>维修结束后支付</t>
  </si>
  <si>
    <t>青青家园</t>
  </si>
  <si>
    <t>VS-BU1-FC-26-V1-BJWY-1811</t>
  </si>
  <si>
    <t>青青家园锅炉设备维护项目</t>
  </si>
  <si>
    <t>2018.11.25</t>
  </si>
  <si>
    <t>2019.11.24</t>
  </si>
  <si>
    <t>按季度付款</t>
  </si>
  <si>
    <t xml:space="preserve">                                      </t>
  </si>
  <si>
    <t>热水锅炉辅助设备维修</t>
  </si>
  <si>
    <t>望京中心</t>
  </si>
  <si>
    <t>望京国际商业中心</t>
  </si>
  <si>
    <t>2018.11.6</t>
  </si>
  <si>
    <t>2019.11.5</t>
  </si>
  <si>
    <t>2018.11.30</t>
  </si>
  <si>
    <t>NHY-20180628-L-01-02-030</t>
  </si>
  <si>
    <t>朝阳规划艺术馆过滤网更换</t>
  </si>
  <si>
    <t>2018.8.2</t>
  </si>
  <si>
    <t>2018.8.5</t>
  </si>
  <si>
    <t>2018.11.30日付3075元</t>
  </si>
  <si>
    <t>2019.11.29</t>
  </si>
  <si>
    <t>北车</t>
  </si>
  <si>
    <t>中国北方车辆研究所</t>
  </si>
  <si>
    <t>NHY-20181018-Q-01-01-045</t>
  </si>
  <si>
    <t>维修变频柜</t>
  </si>
  <si>
    <t>2018.11.29</t>
  </si>
  <si>
    <t>维修完成后支付14674.5元
质保一年后支付1630.5元</t>
  </si>
  <si>
    <t>续签</t>
  </si>
  <si>
    <t>国电南瑞</t>
  </si>
  <si>
    <t>国电南瑞科技股份有限公司</t>
  </si>
  <si>
    <t>无</t>
  </si>
  <si>
    <t>2019.3.1日付15900元</t>
  </si>
  <si>
    <t>1-11月份合计</t>
  </si>
  <si>
    <t>2018.12.07</t>
  </si>
  <si>
    <t>环普科技园</t>
  </si>
  <si>
    <t>北京艺海兴龙暖通设备有限公司</t>
  </si>
  <si>
    <t>NH-20180909-Q-01-01-006</t>
  </si>
  <si>
    <t>力浩2号楼中央空调维修保养</t>
  </si>
  <si>
    <t>2018.9.9</t>
  </si>
  <si>
    <t>2019.9.8</t>
  </si>
  <si>
    <t>2019.3.9日付33000元
2019.9.8日付33000元</t>
  </si>
  <si>
    <t>2018.12.10</t>
  </si>
  <si>
    <t>乐乎公寓</t>
  </si>
  <si>
    <t>北京恒宇恒安物业管理有限公司</t>
  </si>
  <si>
    <t>NHY-20180531-W-01-01-030</t>
  </si>
  <si>
    <t>空调运行</t>
  </si>
  <si>
    <t>2020.4.1</t>
  </si>
  <si>
    <t>3（荣辉）</t>
  </si>
  <si>
    <t>新农创/熊猫公寓</t>
  </si>
  <si>
    <t>北京建斌晟达热能投资管理有限公司</t>
  </si>
  <si>
    <t>空调运行合同</t>
  </si>
  <si>
    <t>2028.5.9</t>
  </si>
  <si>
    <t>NHY-20181214-L-01-01-049</t>
  </si>
  <si>
    <t>2018.12.15</t>
  </si>
  <si>
    <t>2018.12.25</t>
  </si>
  <si>
    <t>维修完成后支付</t>
  </si>
  <si>
    <t>2018.12.4</t>
  </si>
  <si>
    <t>RH-20181204-L-01-01-03-030</t>
  </si>
  <si>
    <t>更换程控器</t>
  </si>
  <si>
    <t>2018.12.27</t>
  </si>
  <si>
    <t>2018.11.22</t>
  </si>
  <si>
    <t>RH-20181122-L-01-01-049</t>
  </si>
  <si>
    <t>定压补水罐内胆更换</t>
  </si>
  <si>
    <t>2019.12.15</t>
  </si>
  <si>
    <t>胡英俊组</t>
  </si>
  <si>
    <t>NHS-20181220-L-01-01-049</t>
  </si>
  <si>
    <t>直燃机年度维保、清洗</t>
  </si>
  <si>
    <t>赵兴华</t>
  </si>
  <si>
    <t>2019.1.7日付21000
2019.12.26日付14000</t>
  </si>
  <si>
    <t>清洗类</t>
  </si>
  <si>
    <t>2018.12.5</t>
  </si>
  <si>
    <t>李君组</t>
  </si>
  <si>
    <t>京蒙蒙大厦</t>
  </si>
  <si>
    <t>北京京蒙蒙电大厦有限公司</t>
  </si>
  <si>
    <t>直燃机采暖器清洗</t>
  </si>
  <si>
    <t>清洗完成后支付</t>
  </si>
  <si>
    <t>1-12月份合计</t>
  </si>
  <si>
    <t>2018年提成登记表</t>
  </si>
  <si>
    <t>序号</t>
  </si>
  <si>
    <t>总经理</t>
  </si>
  <si>
    <t>部门经理</t>
  </si>
  <si>
    <t>内勤</t>
  </si>
  <si>
    <t>1月合计</t>
  </si>
  <si>
    <t>2月合计</t>
  </si>
  <si>
    <t>1-2月合计</t>
  </si>
  <si>
    <t>3月合计</t>
  </si>
  <si>
    <t>1-3月合计</t>
  </si>
  <si>
    <t>4月合计</t>
  </si>
  <si>
    <t>1-4月合计</t>
  </si>
  <si>
    <t>5月合计</t>
  </si>
  <si>
    <t>1-5月合计</t>
  </si>
  <si>
    <t>6月合计</t>
  </si>
  <si>
    <t>1-6月合计</t>
  </si>
  <si>
    <t>7月合计</t>
  </si>
  <si>
    <t>1-7月合计</t>
  </si>
  <si>
    <t>8月合计</t>
  </si>
  <si>
    <t>1-8月合计</t>
  </si>
  <si>
    <t>9月合计</t>
  </si>
  <si>
    <t>1-9月合计</t>
  </si>
  <si>
    <t>10月合计</t>
  </si>
  <si>
    <t>1-10月合计</t>
  </si>
  <si>
    <t>11月合计</t>
  </si>
  <si>
    <t>1-11月合计</t>
  </si>
  <si>
    <t>12月合计</t>
  </si>
  <si>
    <t>1-12月合计</t>
  </si>
  <si>
    <t>20
18
年维保项目月度回访记录表</t>
  </si>
  <si>
    <t>组员</t>
  </si>
  <si>
    <t>溴化锂维保单位（李军组）</t>
  </si>
  <si>
    <t>溴化锂维保单位（胡英俊组）</t>
  </si>
  <si>
    <t>电制冷组（邱维保组）</t>
  </si>
  <si>
    <t>外协部</t>
  </si>
  <si>
    <t>中信国安</t>
  </si>
  <si>
    <t>回龙观华联</t>
  </si>
  <si>
    <t>北大畅春园</t>
  </si>
  <si>
    <t>华亨国际</t>
  </si>
  <si>
    <t>朝阳规划艺术馆</t>
  </si>
  <si>
    <t>中国石油</t>
  </si>
  <si>
    <t>深圳南山热电厂</t>
  </si>
  <si>
    <t>电子城科技大厦</t>
  </si>
  <si>
    <t>金三环宾馆</t>
  </si>
  <si>
    <t>中滦煤化工</t>
  </si>
  <si>
    <t>华电科工</t>
  </si>
  <si>
    <t>通惠</t>
  </si>
  <si>
    <t>东亿国际</t>
  </si>
  <si>
    <t>长城公寓</t>
  </si>
  <si>
    <t>豪庭国际</t>
  </si>
  <si>
    <t>金都禾</t>
  </si>
  <si>
    <t>天津天一大厦</t>
  </si>
  <si>
    <t>可味美食城3期</t>
  </si>
  <si>
    <t>可味美食城18期</t>
  </si>
  <si>
    <t>五号公馆</t>
  </si>
  <si>
    <t>北京乔治费歇尔</t>
  </si>
  <si>
    <t>河北艾福亿维</t>
  </si>
  <si>
    <t>丰台华联</t>
  </si>
  <si>
    <t>内蒙古嘉瑞酒店</t>
  </si>
  <si>
    <t>海育大厦</t>
  </si>
  <si>
    <t>大兴文化都汇</t>
  </si>
  <si>
    <t>成都泰丰国际</t>
  </si>
  <si>
    <t>维护事项</t>
  </si>
  <si>
    <t>联系人/电话</t>
  </si>
  <si>
    <t>成小勇13513163321李主管15383865411</t>
  </si>
  <si>
    <t>陈利峰13683051084回工13521862681</t>
  </si>
  <si>
    <t>刘主任13601078515张强13522267997</t>
  </si>
  <si>
    <t>吉工13439116186</t>
  </si>
  <si>
    <t>廖经理18513884919</t>
  </si>
  <si>
    <t>吴慎刚13261677069</t>
  </si>
  <si>
    <t>赵经理13910181315</t>
  </si>
  <si>
    <t>毛工13439588541</t>
  </si>
  <si>
    <t>程经理15801570323</t>
  </si>
  <si>
    <t>李海岩18519292568</t>
  </si>
  <si>
    <t>张工18311203803</t>
  </si>
  <si>
    <t>张工13716238138</t>
  </si>
  <si>
    <t>闫部长13582786615吴师傅18612435625</t>
  </si>
  <si>
    <t>徐宁经理15601391724</t>
  </si>
  <si>
    <t>张口笑主管13120027137</t>
  </si>
  <si>
    <t>王斌18910832063
孟主管58192024</t>
  </si>
  <si>
    <t>暴晓羽经理1800139963</t>
  </si>
  <si>
    <t>李庆班长18610192928</t>
  </si>
  <si>
    <t>杨经理13602109023刘伟13820053303</t>
  </si>
  <si>
    <t>许颖经理18810131088</t>
  </si>
  <si>
    <t>陈经理15914171395</t>
  </si>
  <si>
    <t>赵峰18810617645
张主管13611278513</t>
  </si>
  <si>
    <t>盖婷婷13811170016</t>
  </si>
  <si>
    <t>陶建国13811993653许小波13621310822</t>
  </si>
  <si>
    <t>马经理18500051306</t>
  </si>
  <si>
    <t>一期杨部长13931412228二期孟工15831491269</t>
  </si>
  <si>
    <t>徐景毅经理13439584637</t>
  </si>
  <si>
    <t>候工13911142665</t>
  </si>
  <si>
    <t>刘工18911077821</t>
  </si>
  <si>
    <t>东总15801331098
武主管18548938546</t>
  </si>
  <si>
    <t>老舅13021102110</t>
  </si>
  <si>
    <t>孟双龙经理15311541553</t>
  </si>
  <si>
    <t>于小伟18561107588</t>
  </si>
  <si>
    <t>王经理139116693</t>
  </si>
  <si>
    <t>刘总13501239601
罗工13581828503</t>
  </si>
  <si>
    <t>吴站长15910292827</t>
  </si>
  <si>
    <t>吕经理15030307818</t>
  </si>
  <si>
    <t>陈经理13366985454
18610949066</t>
  </si>
  <si>
    <t>于敬13911187379</t>
  </si>
  <si>
    <t>田部长13693356142
闫部长13641072911</t>
  </si>
  <si>
    <t>金经理18622176418</t>
  </si>
  <si>
    <t>康工13803132543</t>
  </si>
  <si>
    <t>陈总13501121411</t>
  </si>
  <si>
    <t>张总18210321931</t>
  </si>
  <si>
    <t>高翠珍13932662170</t>
  </si>
  <si>
    <t>王怀清经理18511785535</t>
  </si>
  <si>
    <t>李经理13910420692
付经理13933920168</t>
  </si>
  <si>
    <t>陈经理13720098768
张宇翔13601177107</t>
  </si>
  <si>
    <t>马经理13717849883</t>
  </si>
  <si>
    <t>王总13691166182</t>
  </si>
  <si>
    <t>栗经理13601277777</t>
  </si>
  <si>
    <t>王工13693074165</t>
  </si>
  <si>
    <t>邢陆鑫15652291394莫经理18610688275</t>
  </si>
  <si>
    <t>张总15928088935</t>
  </si>
  <si>
    <t>吴斌13618099711</t>
  </si>
  <si>
    <t>1月份回访时间</t>
  </si>
  <si>
    <t>/</t>
  </si>
  <si>
    <t>客户反应情况</t>
  </si>
  <si>
    <t>投诉情况</t>
  </si>
  <si>
    <t>2月份回访时间</t>
  </si>
  <si>
    <t>3月份回访时间</t>
  </si>
  <si>
    <t>4月份回访时间</t>
  </si>
  <si>
    <t>5月份回访时间</t>
  </si>
  <si>
    <t>6月份回访时间</t>
  </si>
  <si>
    <t>7月份回访时间</t>
  </si>
  <si>
    <t>z</t>
  </si>
  <si>
    <t>8月份回访时间</t>
  </si>
  <si>
    <t>9月份回访时间</t>
  </si>
  <si>
    <t>10月份回访时间</t>
  </si>
  <si>
    <t>11月份回访时间</t>
  </si>
  <si>
    <t>12月份回访时间</t>
  </si>
  <si>
    <t>签订公司</t>
  </si>
  <si>
    <t>开始</t>
  </si>
  <si>
    <t>到期未回款金额</t>
  </si>
  <si>
    <t>发票状态</t>
  </si>
  <si>
    <t>未回款原因</t>
  </si>
  <si>
    <t>第1笔款时间</t>
  </si>
  <si>
    <t>第1笔款金额</t>
  </si>
  <si>
    <t>已回款额</t>
  </si>
  <si>
    <t>未回款金额</t>
  </si>
  <si>
    <t>第2笔款时间</t>
  </si>
  <si>
    <t>第2笔款金额</t>
  </si>
  <si>
    <t>第3笔款时间</t>
  </si>
  <si>
    <t>第3笔款金额</t>
  </si>
  <si>
    <t>第4笔款时间</t>
  </si>
  <si>
    <t>第4笔款金额</t>
  </si>
  <si>
    <t>第5笔款时间</t>
  </si>
  <si>
    <t>第5笔款金额</t>
  </si>
  <si>
    <t>总回款额</t>
  </si>
  <si>
    <t>未回款总额</t>
  </si>
  <si>
    <t>三汇</t>
  </si>
  <si>
    <t>国安第一城（香河）文化旅游发展有限公司</t>
  </si>
  <si>
    <t>真空燃油锅炉技术服务合同</t>
  </si>
  <si>
    <t>此合同款项结束</t>
  </si>
  <si>
    <t>验收合格后30个工作日内支付90%</t>
  </si>
  <si>
    <t>质保期满20个工作日内支付10%，验收合格之日起一年质保期</t>
  </si>
  <si>
    <t>NH-20161202-KF-03-001-009</t>
  </si>
  <si>
    <t>季度付款，每个季度支付17000，于第四个月10日前支付完成</t>
  </si>
  <si>
    <t>此合同为3年维保合同，与低氮改造项目补充协议冲突，需要确认</t>
  </si>
  <si>
    <t>北京华联（天通苑）</t>
  </si>
  <si>
    <t>北京华联第一太平商业物业管理有限公司</t>
  </si>
  <si>
    <t>NH-20170419-KF-01-01-012</t>
  </si>
  <si>
    <t>锅炉年度维保技术服务合同</t>
  </si>
  <si>
    <t>4月10日前支付50%</t>
  </si>
  <si>
    <t>12月底到期后一周内支付50%</t>
  </si>
  <si>
    <t>三汇（已续签）</t>
  </si>
  <si>
    <t>NHS-20161202-X-01-01-008</t>
  </si>
  <si>
    <t>螺杆机年度技术服务合同</t>
  </si>
  <si>
    <t>0已续签</t>
  </si>
  <si>
    <t>进场维修前首付50%</t>
  </si>
  <si>
    <t>调试完成，验收通过30天内支付40%</t>
  </si>
  <si>
    <t>合同到期之日前一个月内10%</t>
  </si>
  <si>
    <t>广汇达科技</t>
  </si>
  <si>
    <t>武汉广汇达科技有限公司</t>
  </si>
  <si>
    <t>NHS-20161208-W-01-01-001</t>
  </si>
  <si>
    <t>溴冷机技术服务合同</t>
  </si>
  <si>
    <t>2017年4月底开始调试5月30日前一次性付清</t>
  </si>
  <si>
    <t>NH-20170401-XS-01-01-001</t>
  </si>
  <si>
    <t>生效日3日内付预付款20%</t>
  </si>
  <si>
    <t>2017年5月30日前一次性付款</t>
  </si>
  <si>
    <t>NHS-20170209-X-01-001-012</t>
  </si>
  <si>
    <t>环境大厦中央空调托管运行及年度维保技术服务合同</t>
  </si>
  <si>
    <t>签订日一周内50%</t>
  </si>
  <si>
    <t>合同到期后一周内50%</t>
  </si>
  <si>
    <t>东方基业</t>
  </si>
  <si>
    <t>北京平房青年路汽车商贸城市场有限公司</t>
  </si>
  <si>
    <t>中央空调系统设备维修维护</t>
  </si>
  <si>
    <t>未开发票（19年4.30日）</t>
  </si>
  <si>
    <t>签订后5个工作日内60%</t>
  </si>
  <si>
    <t>调试运行正常30天内35%</t>
  </si>
  <si>
    <t>质保期2019年4月30日后5个工作日内5%</t>
  </si>
  <si>
    <t>承德中滦煤化工有限公司</t>
  </si>
  <si>
    <t>ZL-CL-201703270902</t>
  </si>
  <si>
    <t>承揽合同</t>
  </si>
  <si>
    <t>已开发票</t>
  </si>
  <si>
    <t>NH-20170328-KF-01-01-010</t>
  </si>
  <si>
    <t>冷却塔和真空热水机组技术服务合同</t>
  </si>
  <si>
    <t>验收合格后5个工作日内支付总金额50%</t>
  </si>
  <si>
    <t>合同结束后1个月内全部付清</t>
  </si>
  <si>
    <t>NHS-20170316-X-01-01-012</t>
  </si>
  <si>
    <t>环境大厦直燃机年度维保技术服务合同</t>
  </si>
  <si>
    <t>NHS-20170307-XS-03-01-001</t>
  </si>
  <si>
    <t>中牧实验大楼空调维保托管</t>
  </si>
  <si>
    <t>2017年4月20日前支付总额50%</t>
  </si>
  <si>
    <t>2018年3月31日前支付50%</t>
  </si>
  <si>
    <t>嘉瑞酒店</t>
  </si>
  <si>
    <t>内蒙古嘉瑞酒店管理有限责任公司</t>
  </si>
  <si>
    <t>NH-20170401-X-01-01-012</t>
  </si>
  <si>
    <t>合同签订后三日内40%</t>
  </si>
  <si>
    <t>机组调试正常50%</t>
  </si>
  <si>
    <t>2018年3月31日前10%</t>
  </si>
  <si>
    <t>华联公益西桥店</t>
  </si>
  <si>
    <t>NH-20170321-X-10-001-012</t>
  </si>
  <si>
    <t>生效后三个工作日内30%</t>
  </si>
  <si>
    <t>第一次机组整体检修完成验收通过7日内50%</t>
  </si>
  <si>
    <t>合同到期后10天内20%</t>
  </si>
  <si>
    <t>NH-20170323-X-01-01-012</t>
  </si>
  <si>
    <t>北京华电大厦中央空调年度维保技术服务合同</t>
  </si>
  <si>
    <t>签订生效后50%</t>
  </si>
  <si>
    <t>合同结束前一周内50%</t>
  </si>
  <si>
    <t>硕人海泰能源</t>
  </si>
  <si>
    <t>北京硕人海泰能源科技有限公司</t>
  </si>
  <si>
    <t>NHS-20170422-Q-01-01-015</t>
  </si>
  <si>
    <t>重钢脱湿制冷机组设备年度维保合同</t>
  </si>
  <si>
    <t>未开票</t>
  </si>
  <si>
    <t>合同签订后付款40%</t>
  </si>
  <si>
    <t>施工进度完成一半40%</t>
  </si>
  <si>
    <t>制冷设备机组调试正常后10天内20%</t>
  </si>
  <si>
    <t>京东方物业</t>
  </si>
  <si>
    <t>NHS-20170227-01-01-012</t>
  </si>
  <si>
    <t>合同生效之日起10日内</t>
  </si>
  <si>
    <t>首次维保完毕验收合格</t>
  </si>
  <si>
    <t>验收合格且合同期满后10日内</t>
  </si>
  <si>
    <t>三汇（18年不做了）</t>
  </si>
  <si>
    <t>同方科迅</t>
  </si>
  <si>
    <t>北京同方科迅技术开发有限公司</t>
  </si>
  <si>
    <t>NH-20170405-X-01-01-012</t>
  </si>
  <si>
    <t>四惠大厦直燃机年度维护保养合同</t>
  </si>
  <si>
    <t>制冷季结束后乙方开发票，甲方支付50%</t>
  </si>
  <si>
    <t>合同结束后15个工作日内50%</t>
  </si>
  <si>
    <t>国粹苑直燃机年度维保</t>
  </si>
  <si>
    <t>通厦大厦</t>
  </si>
  <si>
    <t>NHD-20170405-W-01-02-008</t>
  </si>
  <si>
    <t>通厦大厦直燃机技术服务（检漏、补漏、清洗）</t>
  </si>
  <si>
    <t>调试运行正常，一周内50%</t>
  </si>
  <si>
    <t>调试运行正常30天内50%</t>
  </si>
  <si>
    <t>君顺和</t>
  </si>
  <si>
    <t>NH-20170410-X-01-01-012</t>
  </si>
  <si>
    <t>首次维保完毕验收合格一周内30%</t>
  </si>
  <si>
    <t>调试运行正常一周内50%</t>
  </si>
  <si>
    <t>合同期满一周内20%</t>
  </si>
  <si>
    <t>三汇（未续签）</t>
  </si>
  <si>
    <t>NHD-20170405-W-01-01-008</t>
  </si>
  <si>
    <t>通厦大厦直燃机年度维保技术服务合同</t>
  </si>
  <si>
    <t>2017年9月30日前50%</t>
  </si>
  <si>
    <t>2018年5月2日前50%</t>
  </si>
  <si>
    <t>三汇(已续签）</t>
  </si>
  <si>
    <t>NH-20170420-X-01-01-012</t>
  </si>
  <si>
    <t>真空锅炉年度维保技术服务合同</t>
  </si>
  <si>
    <t>首次维保验收合格，两个工作日50%</t>
  </si>
  <si>
    <t>合同到期3天内50%</t>
  </si>
  <si>
    <t>NHD-20170422-XS-01-01-013</t>
  </si>
  <si>
    <t>直燃机清洗服务合同书</t>
  </si>
  <si>
    <t>签订后，乙方进场，甲方付款50%</t>
  </si>
  <si>
    <t>验收完成，乙方开全额专票6%，甲方收到发票后7个工作日支付50%</t>
  </si>
  <si>
    <t>三汇(未续签）</t>
  </si>
  <si>
    <t>天合石油</t>
  </si>
  <si>
    <t>北京湘江联合能源科技有限公司</t>
  </si>
  <si>
    <t>NH-20170524-X-01-01-012</t>
  </si>
  <si>
    <t>直燃机年度维保技术服务合同</t>
  </si>
  <si>
    <t>2018.5.9未开票</t>
  </si>
  <si>
    <t>倒闭了</t>
  </si>
  <si>
    <t>首次维保验收合格一周后或调试正常一周后付50%</t>
  </si>
  <si>
    <t>合同期满，全部正常50%</t>
  </si>
  <si>
    <t>华林联合</t>
  </si>
  <si>
    <t>北京华林联合热能技术有限公司</t>
  </si>
  <si>
    <t>NHS-20170425-KF-01-01-008</t>
  </si>
  <si>
    <t>空调年度技术服务合同</t>
  </si>
  <si>
    <t>甲方解除合同了</t>
  </si>
  <si>
    <t>首次保养完毕3日内50%</t>
  </si>
  <si>
    <t>合同结束前30天内50%</t>
  </si>
  <si>
    <t>紫光国际</t>
  </si>
  <si>
    <t>紫光集团有限公司北京国际科技交流中心</t>
  </si>
  <si>
    <t>NH-20170531-XS-01-01-013</t>
  </si>
  <si>
    <t>紫光国际交流中心直燃机技术服务合同</t>
  </si>
  <si>
    <t>结束后一周内付全款</t>
  </si>
  <si>
    <t>NH-20170617-KF-01-01-008</t>
  </si>
  <si>
    <t>直燃机清洗技术服务合同</t>
  </si>
  <si>
    <t>清洗结束，运行一周正常，一周内付合同全款</t>
  </si>
  <si>
    <t>%6专票</t>
  </si>
  <si>
    <t>盛购物业</t>
  </si>
  <si>
    <t>北京盛购物业管理有限公司</t>
  </si>
  <si>
    <t>NH-20170426-01-01-012</t>
  </si>
  <si>
    <t>合同生效三日内30%</t>
  </si>
  <si>
    <t>首次维保正常开机运行一个月后付款40%</t>
  </si>
  <si>
    <t>合同结束前一周付清30%</t>
  </si>
  <si>
    <t>乐天玛特（酒仙桥）</t>
  </si>
  <si>
    <t>中央空调系统设备维修</t>
  </si>
  <si>
    <t>未到期（2018.6.4）</t>
  </si>
  <si>
    <t>完成维修验收合格30天内95%</t>
  </si>
  <si>
    <t>保修期满5%</t>
  </si>
  <si>
    <t>华锦化学</t>
  </si>
  <si>
    <t>北方华锦化学工业股份有限公司</t>
  </si>
  <si>
    <t>维修及保养合同</t>
  </si>
  <si>
    <t>验收合格90%</t>
  </si>
  <si>
    <t>质保期1年10%</t>
  </si>
  <si>
    <t>国花骊宫坊</t>
  </si>
  <si>
    <t>西安曲江临潼旅游商业发展有限公司骊宫坊餐饮管理分公司</t>
  </si>
  <si>
    <t>NHS-20170413-W-03-01-014</t>
  </si>
  <si>
    <t>临潼国花骊宫坊直燃机清洗预膜服务合同</t>
  </si>
  <si>
    <t>生效后30%</t>
  </si>
  <si>
    <t>清洗验收后70%</t>
  </si>
  <si>
    <t>NHS-20170413-W-0201014</t>
  </si>
  <si>
    <t>临潼国花骊宫坊直燃机年度维保服务合同</t>
  </si>
  <si>
    <t>未到期（2018.5.31）</t>
  </si>
  <si>
    <t>2017年10月31日前支付30%</t>
  </si>
  <si>
    <t>合同履行完毕40%</t>
  </si>
  <si>
    <t>三汇(续签）</t>
  </si>
  <si>
    <t>聚富宫大酒楼</t>
  </si>
  <si>
    <t>NHS-20170511-XS-01-008</t>
  </si>
  <si>
    <t>合同签署后7日内40%</t>
  </si>
  <si>
    <t>保养六个月支付40%</t>
  </si>
  <si>
    <t>保养完工后一个月内支付20%</t>
  </si>
  <si>
    <t>三汇（续签）</t>
  </si>
  <si>
    <t>北京瑞成盛达商业管理有限公司</t>
  </si>
  <si>
    <t>NH-20170510-X-01-01-012</t>
  </si>
  <si>
    <t>华亨国际中心直燃机年度维保</t>
  </si>
  <si>
    <t>签订生效3日内30%</t>
  </si>
  <si>
    <t>3月31日前60%</t>
  </si>
  <si>
    <t>合同到期10天内10%</t>
  </si>
  <si>
    <t>同方</t>
  </si>
  <si>
    <t>政法大学</t>
  </si>
  <si>
    <t>中国政法大学</t>
  </si>
  <si>
    <t>政法大学两校区部分建筑中央空调保养及清洗</t>
  </si>
  <si>
    <t>中央空调保养清洗合同</t>
  </si>
  <si>
    <t>完成清洗并合格，提供发票后付保养全款158950</t>
  </si>
  <si>
    <t>螺杆机保养第一次费用14250分两次支付，第一次9月20日支付一次</t>
  </si>
  <si>
    <t>螺杆机保养费用14250分两次支付，第二次合同到期后支付一次</t>
  </si>
  <si>
    <t>材料费用，更换完毕，机组运行正常后，支付全款83080</t>
  </si>
  <si>
    <t xml:space="preserve">                                                                   </t>
  </si>
  <si>
    <t>政法大学国际交流中心中央空调维护保养</t>
  </si>
  <si>
    <t>中央空调维护保养</t>
  </si>
  <si>
    <t>合同签订后即付清洗总价的30%</t>
  </si>
  <si>
    <t>制冷季后完成停机保养，清洗总价的30%</t>
  </si>
  <si>
    <t>合同到期前15日内余款40%</t>
  </si>
  <si>
    <t>合同到期前15日内，材料费7800，按照实际使用情况</t>
  </si>
  <si>
    <t>上海华之邦科技股份有限公司</t>
  </si>
  <si>
    <t>NH-20170614-KF-01-01-012</t>
  </si>
  <si>
    <t>直燃机技术服务合同</t>
  </si>
  <si>
    <t>验收合格十个工作日内全款</t>
  </si>
  <si>
    <t>博创城市建设开发有限公司</t>
  </si>
  <si>
    <t>BC1700247</t>
  </si>
  <si>
    <t>长城公寓（徐水）大型设备维保项目合同</t>
  </si>
  <si>
    <t>签订结束，预付款50%</t>
  </si>
  <si>
    <t>维修周期结束50%</t>
  </si>
  <si>
    <t>长城汽车股份有限公司徐水分公司</t>
  </si>
  <si>
    <t>NH-20170615-Q-01-01-012</t>
  </si>
  <si>
    <t>高温再生器维修合同</t>
  </si>
  <si>
    <t>验收合格后一次性付款</t>
  </si>
  <si>
    <t>NHD-2017628-XS-02-01-013</t>
  </si>
  <si>
    <t>东亿国际直燃机维保合同</t>
  </si>
  <si>
    <t>签订后5个工作日内50%</t>
  </si>
  <si>
    <t>合同到期验收合格5个工作日内50%</t>
  </si>
  <si>
    <t>6%专票</t>
  </si>
  <si>
    <t>NHD-2017628-XS-01-01-013</t>
  </si>
  <si>
    <t>东亿国际直燃机维修合同</t>
  </si>
  <si>
    <t>验收完成后45%</t>
  </si>
  <si>
    <t>质保金5%，验收合格后1年质保期后5个工作日内</t>
  </si>
  <si>
    <t>17%专票</t>
  </si>
  <si>
    <t>NHS-20170222-W-02-01-001</t>
  </si>
  <si>
    <t>签订后3个工作日50%</t>
  </si>
  <si>
    <t>合同结束前一周50%</t>
  </si>
  <si>
    <t>梅地亚</t>
  </si>
  <si>
    <t>第一太平戴维斯物业顾问（北京）有限公司东方梅地亚分公司</t>
  </si>
  <si>
    <t>增加空调费用补充协议</t>
  </si>
  <si>
    <t>未到期2018年4</t>
  </si>
  <si>
    <t>每年4月15日</t>
  </si>
  <si>
    <t>每年10月15日</t>
  </si>
  <si>
    <t>NHS-20170727-W-02-01-001</t>
  </si>
  <si>
    <t>签订后5工作日内50%</t>
  </si>
  <si>
    <t>2018年7月31日前支付20%</t>
  </si>
  <si>
    <t>三汇(续签)</t>
  </si>
  <si>
    <t>味还行家常菜</t>
  </si>
  <si>
    <t>NHS-20170727-W-01-01-001</t>
  </si>
  <si>
    <t>NHS-20160627-W-02-01-001</t>
  </si>
  <si>
    <t>生效之日3日内50%</t>
  </si>
  <si>
    <t>合同到期后30天内50%</t>
  </si>
  <si>
    <t>金科</t>
  </si>
  <si>
    <t>一甲（天津）</t>
  </si>
  <si>
    <t>一甲天津机电设备安装工程股份有限公司</t>
  </si>
  <si>
    <t>JKHH-20170808-01-01-008</t>
  </si>
  <si>
    <t>直燃机维修合同</t>
  </si>
  <si>
    <t>签订后50%，预付款，款到，合同生效</t>
  </si>
  <si>
    <t>安装完毕，调试正常，3日后支付50%</t>
  </si>
  <si>
    <t>JSEX1704026</t>
  </si>
  <si>
    <t>哈弗技术中心制冷机组委外维修保养合同</t>
  </si>
  <si>
    <t>签订后30个工作日内40%</t>
  </si>
  <si>
    <t>合同结束日后30日内，双方确认后支付60%</t>
  </si>
  <si>
    <t>辽宁大厦</t>
  </si>
  <si>
    <t>北京盛安酒店管理有限公司</t>
  </si>
  <si>
    <t>NHS-20170808-XS-01-01-013</t>
  </si>
  <si>
    <t>锅炉检漏技术服务合同</t>
  </si>
  <si>
    <t>正常运行后5个工作日内全付款</t>
  </si>
  <si>
    <t>北大中关新园</t>
  </si>
  <si>
    <t>北京大学会议中心中关新园管理部</t>
  </si>
  <si>
    <t>NHS-20170406-01-01-008</t>
  </si>
  <si>
    <t>北大中关新园2号楼2号中央空调冷冻机组大修合同</t>
  </si>
  <si>
    <t>验收合格后5个工作日内支付总金额40%</t>
  </si>
  <si>
    <t>2017制冷季运行15日后进行验收，无问题，10个工作日内支付55%</t>
  </si>
  <si>
    <t>质保期满10个工作日内付清5%</t>
  </si>
  <si>
    <t>按照补充协议执行</t>
  </si>
  <si>
    <t>NHS-20170406-02-01-008</t>
  </si>
  <si>
    <t>北大中关新园7号楼2号中央空调冷冻机组大修合同</t>
  </si>
  <si>
    <t>NHD-20170702-XS-02-01-013</t>
  </si>
  <si>
    <t>直燃机组年度维保技术服务合同</t>
  </si>
  <si>
    <t>生效后10个工作日内50%</t>
  </si>
  <si>
    <t>合同期满，递交年度维保报告，确认后5个工作日内支付50%</t>
  </si>
  <si>
    <t>NHS-20170819-XS-01-01-013</t>
  </si>
  <si>
    <t>直燃机组技术服务合同</t>
  </si>
  <si>
    <t>未开票（2017.9.20）</t>
  </si>
  <si>
    <t>支付预付款后生效，签订后支付60%</t>
  </si>
  <si>
    <t>合同内容完成验收后2017年9月20日前支付40%</t>
  </si>
  <si>
    <t xml:space="preserve">  </t>
  </si>
  <si>
    <t>大华时尚</t>
  </si>
  <si>
    <t>北京大华时尚科技发展有限公司</t>
  </si>
  <si>
    <t>DHWY201710KJSSKTWX</t>
  </si>
  <si>
    <t>大华时尚维修合同</t>
  </si>
  <si>
    <t>验收合格，开发票后十日内付全款</t>
  </si>
  <si>
    <t>中泽农控股</t>
  </si>
  <si>
    <t>NHS-20170714-XS-01-01-013</t>
  </si>
  <si>
    <t xml:space="preserve">          </t>
  </si>
  <si>
    <t>签订合同后5个工作日，控制屏费用17%税率</t>
  </si>
  <si>
    <t>验收完成后5个工作日内6%税率</t>
  </si>
  <si>
    <t>NHS-20170901-KF-01-01-014</t>
  </si>
  <si>
    <t>2017年10月30日前50%</t>
  </si>
  <si>
    <t>2018年9月19日前支付50%</t>
  </si>
  <si>
    <t>纳爱斯益阳</t>
  </si>
  <si>
    <t>纳爱斯益阳有限公司</t>
  </si>
  <si>
    <t>YY/2017-09-15</t>
  </si>
  <si>
    <t>开利冷冻机维修合同</t>
  </si>
  <si>
    <t>未到期，已开发票（2018.9.15）</t>
  </si>
  <si>
    <t>定金，签字后支付,60%</t>
  </si>
  <si>
    <t>验收款30%，维修完毕后，验收合格，收到17%税发票后10工作日内支付</t>
  </si>
  <si>
    <t>质保金10%，质保期1年，验收合格，10个工作日内支付</t>
  </si>
  <si>
    <t>NHD-20170704-XS-01-01-013</t>
  </si>
  <si>
    <t>螺杆机和空压机年度维保</t>
  </si>
  <si>
    <t>签订支付50%</t>
  </si>
  <si>
    <t>合同期满50%</t>
  </si>
  <si>
    <t>金科（续签）</t>
  </si>
  <si>
    <t>聚佳豪庭酒店</t>
  </si>
  <si>
    <t>JKHH-20170915-XS-01-01-013</t>
  </si>
  <si>
    <t>签订3日内50%后生效</t>
  </si>
  <si>
    <t>合同结束前1周50%</t>
  </si>
  <si>
    <t>NHS-2017-W-01-01-001</t>
  </si>
  <si>
    <t>直燃机和循环冷却水监管维保合同</t>
  </si>
  <si>
    <t>生效后一周内70%</t>
  </si>
  <si>
    <t>合同到期前一周内付清</t>
  </si>
  <si>
    <t>NHS-20171018-W-01-01-001</t>
  </si>
  <si>
    <t>空调清洗预膜和水处理合同</t>
  </si>
  <si>
    <t>验收合格后一周内30%</t>
  </si>
  <si>
    <t>橙天娱乐</t>
  </si>
  <si>
    <t>北京橙天影院投资管理有限公司</t>
  </si>
  <si>
    <t>NHS-20170913-W-01-01-001</t>
  </si>
  <si>
    <t>锅炉托管运行及年度维保技术服务合同</t>
  </si>
  <si>
    <t>签订，乙方完成供暖季前锅炉保养，验收合格支付30%</t>
  </si>
  <si>
    <t>2018年1月份，无争议情况40%</t>
  </si>
  <si>
    <t>乙方完成供暖季结束后保养，运行数据交于客户，30%</t>
  </si>
  <si>
    <t>乙方于当月10日前提示付款申请，未在10日前提示，顺延到下个月最后一天</t>
  </si>
  <si>
    <t>修理维护费</t>
  </si>
  <si>
    <t>其它支付结算确认书</t>
  </si>
  <si>
    <t>溴化锂直燃机大修合同</t>
  </si>
  <si>
    <t>签订3日内60%</t>
  </si>
  <si>
    <t>环保验收合格后3个工作日内35%</t>
  </si>
  <si>
    <t>质保期1年3个工作日5%</t>
  </si>
  <si>
    <t>17年中国石油直燃机技术服务项目</t>
  </si>
  <si>
    <t>华彬庄园</t>
  </si>
  <si>
    <t>北京华彬庄园绿色休闲健身俱乐部有限公司</t>
  </si>
  <si>
    <t>华彬庄园喜庆堂1号直燃机大修合同</t>
  </si>
  <si>
    <t>签订3日内30%</t>
  </si>
  <si>
    <t>1号直燃机修理完毕且运行正常之日起十日内60%</t>
  </si>
  <si>
    <t>质保期一年内付清10%</t>
  </si>
  <si>
    <t>良乡水厂</t>
  </si>
  <si>
    <t>北京市自来水集团良泉水业有限公司</t>
  </si>
  <si>
    <t>NHS-20171009-KF-01-01-008</t>
  </si>
  <si>
    <t>空调机组维修服务合同</t>
  </si>
  <si>
    <t>维修结束后验收合格试运行一周时间内一次性结清全款</t>
  </si>
  <si>
    <t>天津华春新能源</t>
  </si>
  <si>
    <t>NHS-20171108-W-01-01-001</t>
  </si>
  <si>
    <t>吸收式热泵技术服务合同</t>
  </si>
  <si>
    <t>签订三日内50%</t>
  </si>
  <si>
    <t>采暖运行正常起三日内30%</t>
  </si>
  <si>
    <t>采暖结束十日内20%</t>
  </si>
  <si>
    <t>两台冷水机组维修服务合同</t>
  </si>
  <si>
    <t>机组维修服务结束，调试正常一次性付清全款</t>
  </si>
  <si>
    <t>SHNH-20171007-01-01-008</t>
  </si>
  <si>
    <t>空调设备维修合同</t>
  </si>
  <si>
    <t>维修配件到货安装完毕后一周内付款</t>
  </si>
  <si>
    <t>NHS-20171012-XS-01-01-008</t>
  </si>
  <si>
    <t>中央空调清洗服务合同</t>
  </si>
  <si>
    <t>签订5日内50%</t>
  </si>
  <si>
    <t>完成验收5日 内50%</t>
  </si>
  <si>
    <t>NHS-201704-01-01-009</t>
  </si>
  <si>
    <t>空调年度保养、清洗合同</t>
  </si>
  <si>
    <t>合同生效10日内30%</t>
  </si>
  <si>
    <t>清洗验收合格10日内60%</t>
  </si>
  <si>
    <t>年度保养结束验收合格10日内10%</t>
  </si>
  <si>
    <t>怀柔东环供暖中心</t>
  </si>
  <si>
    <t>NHS-20171120-Q-01-01-001</t>
  </si>
  <si>
    <t>吸收式热泵和锅炉技术服务合同</t>
  </si>
  <si>
    <t>签订起3日内40%（201.11.30前）</t>
  </si>
  <si>
    <t>采暖结束十日内60（2018.11.14前）</t>
  </si>
  <si>
    <t>宣化钢铁</t>
  </si>
  <si>
    <t>JH-LX-17-04-JS1</t>
  </si>
  <si>
    <t>设备修理合同（制冷机保养）</t>
  </si>
  <si>
    <t>徐总</t>
  </si>
  <si>
    <t>验收合格三十日内，扣除10%保修费后根据资金情况支付</t>
  </si>
  <si>
    <t>北太平庄街道</t>
  </si>
  <si>
    <t>NH-20171128-Q-01-01-044</t>
  </si>
  <si>
    <t>北太平庄街道机组大修</t>
  </si>
  <si>
    <t>预付款70%</t>
  </si>
  <si>
    <t>维修完成验收后三日内30%</t>
  </si>
  <si>
    <t>田村2号站更换压缩机技术服务</t>
  </si>
  <si>
    <t>颐和园21号站4号机组技术服务；热力站点机组累计24台技术服务</t>
  </si>
  <si>
    <t>北京金都禾商业运营管理有限公司</t>
  </si>
  <si>
    <t>NHS-20171107-Q-01-01-001</t>
  </si>
  <si>
    <t>合同生效三日内20%</t>
  </si>
  <si>
    <t>采暖结束五日内10%</t>
  </si>
  <si>
    <t>夏季制冷运行七日内40%</t>
  </si>
  <si>
    <t>合同结束一周内付清10%</t>
  </si>
  <si>
    <t>三汇 续</t>
  </si>
  <si>
    <t>NHS-20171117-KF-01-01-014</t>
  </si>
  <si>
    <t>三汇 未续</t>
  </si>
  <si>
    <t>万铭酒店</t>
  </si>
  <si>
    <t>NH-20170704-X-01-01-008</t>
  </si>
  <si>
    <t xml:space="preserve">空调年度维保 </t>
  </si>
  <si>
    <t>未到期（2018.6）</t>
  </si>
  <si>
    <t>合同生效后7月底预付31.25%</t>
  </si>
  <si>
    <t>夏秋换季维保结束后17年10月底</t>
  </si>
  <si>
    <t>冬春换季保养结束18年6月底</t>
  </si>
  <si>
    <t>同顺久恒 亦庄二中</t>
  </si>
  <si>
    <t>NHS-20171030-01-01-001</t>
  </si>
  <si>
    <t>中央空调运行托管合同</t>
  </si>
  <si>
    <t>合同签订生效起两周内40%</t>
  </si>
  <si>
    <t>合同履行满半年后一周内（2018年4月20日前）40%</t>
  </si>
  <si>
    <t>合同结束前一周（2018年7月1日前）20%</t>
  </si>
  <si>
    <t>销售部</t>
  </si>
  <si>
    <t>北京宏阳万通投资管理有限公司</t>
  </si>
  <si>
    <t>NH-20171115-W-01-01-004</t>
  </si>
  <si>
    <t>软水器采购安装合同</t>
  </si>
  <si>
    <t>2台空调维保，1#机组大修</t>
  </si>
  <si>
    <t>2018.1.31日凭维保记录单及验收单支付合同金额的30%</t>
  </si>
  <si>
    <t>2018.5.31日凭维保记录单及验收单支付30%</t>
  </si>
  <si>
    <t>2018.11.30如全年维保质量均达到要求及标准，支付合同尾款</t>
  </si>
  <si>
    <t>徐水园区制冷机保养合同</t>
  </si>
  <si>
    <t>2017.10.25</t>
  </si>
  <si>
    <t>唐山华誉新能源供热有限公司</t>
  </si>
  <si>
    <t>三号直燃机大修合同</t>
  </si>
  <si>
    <t>NHS-20171204-01-01-008</t>
  </si>
  <si>
    <t>1#直燃机控制屏维修报价</t>
  </si>
  <si>
    <t>已回款</t>
  </si>
  <si>
    <t>NHS-20171206-KF-01-01-008</t>
  </si>
  <si>
    <t>冷却塔物理清洗年度维保技术服务</t>
  </si>
  <si>
    <t>合同生效10日内50%</t>
  </si>
  <si>
    <t>维保期满后1个月内一次性付清</t>
  </si>
  <si>
    <t>铭泰热力</t>
  </si>
  <si>
    <t>北京市铭泰热力供应有限责任公司</t>
  </si>
  <si>
    <t>NHS-20171220-KF-01-01-030</t>
  </si>
  <si>
    <t>真空锅炉检漏补漏技术服务合同</t>
  </si>
  <si>
    <t>进场施工50%</t>
  </si>
  <si>
    <t>施工完成，甲方验收合同一周内40%</t>
  </si>
  <si>
    <t>2017-2018年供暖季结束前付清10%</t>
  </si>
  <si>
    <t>天津劝宝超市</t>
  </si>
  <si>
    <t>NH-20170410-X-01-001-012</t>
  </si>
  <si>
    <t>17年直燃机年度维保技术服务合同</t>
  </si>
  <si>
    <t>合同生效之日起三日内30%</t>
  </si>
  <si>
    <t>机组调试运行正常起一周内50%</t>
  </si>
  <si>
    <t>2018年5月30日前20%</t>
  </si>
  <si>
    <t>无合同</t>
  </si>
  <si>
    <t>17年电制冷技术服务</t>
  </si>
  <si>
    <t>NH-201670508-X-01-01-012</t>
  </si>
  <si>
    <t>直燃机年度维护</t>
  </si>
  <si>
    <t>2017.6.15</t>
  </si>
  <si>
    <t>NHS-20170801-KF-01-01-014</t>
  </si>
  <si>
    <t>2017.8.1</t>
  </si>
  <si>
    <t>北京众信盛源机电工程技术有限公司</t>
  </si>
  <si>
    <t>NHS-20171115-KF-01-01-014</t>
  </si>
  <si>
    <t>2018.11.14</t>
  </si>
  <si>
    <t>2017.11.30日之前付50%</t>
  </si>
  <si>
    <t>2018.6.30日付30%</t>
  </si>
  <si>
    <t>2018.11.14日付20%</t>
  </si>
  <si>
    <t>NHY-20180131-L-01-01-045</t>
  </si>
  <si>
    <t>直燃机及冷却塔年度维保</t>
  </si>
  <si>
    <t>2017.5.1</t>
  </si>
  <si>
    <t>17年</t>
  </si>
  <si>
    <t>北京翠微大厦有限公司</t>
  </si>
  <si>
    <t>公主坟店直燃机年度维保</t>
  </si>
  <si>
    <t>牡丹园店直燃机年度维保</t>
  </si>
  <si>
    <t>伺服电机更换</t>
  </si>
  <si>
    <t>中和中（北京）光电科技有限公司</t>
  </si>
  <si>
    <t>真空泵油</t>
  </si>
  <si>
    <t>直燃机检漏技术服务</t>
  </si>
  <si>
    <t>螺杆机年度维保</t>
  </si>
  <si>
    <t>北京新大宗饭店有限公司</t>
  </si>
  <si>
    <t>材料款</t>
  </si>
  <si>
    <t>新风安装16年</t>
  </si>
  <si>
    <t>北京中坤长业房地产开发有限公司</t>
  </si>
  <si>
    <t>更换直燃机主板</t>
  </si>
  <si>
    <t>北京建工博海建设有限公司</t>
  </si>
  <si>
    <t>螺杆机维修</t>
  </si>
  <si>
    <t>成都华昌物业发展有限责任公司</t>
  </si>
  <si>
    <t>17年直燃机冷热水机组年度维保</t>
  </si>
  <si>
    <t>北京龙天陆投资有限责任公司</t>
  </si>
  <si>
    <t>HL12月直燃机维保</t>
  </si>
  <si>
    <t>HL9月直燃机维保</t>
  </si>
  <si>
    <t>合众时代（北京）会议服务有限公司</t>
  </si>
  <si>
    <t>北京誉鹰佰嘉物业服务有限公司西杉创意园物业服务中心</t>
  </si>
  <si>
    <t>控制屏技术服务</t>
  </si>
  <si>
    <t>真空锅炉维保</t>
  </si>
  <si>
    <t>冷却水管道改造</t>
  </si>
  <si>
    <t>电磁阀技术服务</t>
  </si>
  <si>
    <t>北京康拓红外技术股份有限公司</t>
  </si>
  <si>
    <t>防爆片材料费（冲红）</t>
  </si>
  <si>
    <t>螺杆机维修（冲红）</t>
  </si>
  <si>
    <t>中国石油天然气股份有限公司独山子石化分公司</t>
  </si>
  <si>
    <t>北京赛格斯科技有限公司</t>
  </si>
  <si>
    <t>中央空调维保</t>
  </si>
  <si>
    <t>福建天泉药业股份有限公司</t>
  </si>
  <si>
    <t>高温热交换器</t>
  </si>
  <si>
    <t>北京望京中福百货有限公司</t>
  </si>
  <si>
    <t>技术服务费</t>
  </si>
  <si>
    <t>北京幸福汇置业有限公司</t>
  </si>
  <si>
    <t>锅炉带运行技术服务费</t>
  </si>
  <si>
    <t>内蒙古宝钢钢联股份有限公司</t>
  </si>
  <si>
    <t>维检费</t>
  </si>
  <si>
    <t>16年直燃机年度维保技术服务合同</t>
  </si>
  <si>
    <t>内蒙古嘉瑞酒店管理有限责任公司北京分公司</t>
  </si>
  <si>
    <t>华融大厦</t>
  </si>
  <si>
    <t>希杰星星（天津）国际影城有限公司</t>
  </si>
  <si>
    <t>北京聚富圣会国际商务中心</t>
  </si>
  <si>
    <t>液位控制器</t>
  </si>
  <si>
    <t>锅炉技术服务费</t>
  </si>
  <si>
    <t>天津市辉煌旺达机电设备有限公司</t>
  </si>
  <si>
    <t>松下制冷（大连）有限公司</t>
  </si>
  <si>
    <t>现场服务费</t>
  </si>
  <si>
    <t>制冷机蒸发器铜管更换</t>
  </si>
  <si>
    <t>希杰星星（天津）国际影城有限公司海河广场分店</t>
  </si>
  <si>
    <t>空调维保</t>
  </si>
  <si>
    <t>包头市菩润电子科技有限公司</t>
  </si>
  <si>
    <t>16年维保</t>
  </si>
  <si>
    <t>天津天保能源股份有限公司</t>
  </si>
  <si>
    <t>社备维修费+配件</t>
  </si>
  <si>
    <t>运行冷气</t>
  </si>
  <si>
    <t>北京市东城区人民法院</t>
  </si>
  <si>
    <t>案款</t>
  </si>
  <si>
    <t>货款-社备</t>
  </si>
  <si>
    <t>金满家购物广场</t>
  </si>
  <si>
    <t>2017直燃机</t>
  </si>
  <si>
    <t>直燃机技术服务</t>
  </si>
  <si>
    <t>中国工商银行股份有限公司包头分行</t>
  </si>
  <si>
    <t>螺杆机技术服务</t>
  </si>
  <si>
    <t>北京大钟寺国际广场物业管理有限公司</t>
  </si>
  <si>
    <t>空调系统</t>
  </si>
  <si>
    <t>16年空调维保</t>
  </si>
  <si>
    <t>北京富力城房地产开发有限公司北京富力万丽酒店</t>
  </si>
  <si>
    <t>15年3号直燃机维修合同</t>
  </si>
  <si>
    <t>2号直燃机维修（检漏补漏）</t>
  </si>
  <si>
    <t>15年溶液再生清洗预谟</t>
  </si>
  <si>
    <t>北京麦迪海药业有限责任公司</t>
  </si>
  <si>
    <t>2017年直燃机清洗预膜</t>
  </si>
  <si>
    <t>内蒙古包钢钢联股份有限公司</t>
  </si>
  <si>
    <t>压力传感器</t>
  </si>
  <si>
    <t>NH-20170721-01-01-012</t>
  </si>
  <si>
    <t>《添加溴化锂溶液等项目》全款</t>
  </si>
  <si>
    <t>国勤绿城资产管理有限公司《锅炉维保费》（首款）回款</t>
  </si>
  <si>
    <t>蜂巢工厂（北京）科技有限公司</t>
  </si>
  <si>
    <t>加时费</t>
  </si>
  <si>
    <t>同方科讯技术开发有限公司《锅炉燃烧机安装调试技术服务》回款</t>
  </si>
  <si>
    <t>国勤绿城（北京）资产管理有限公司17年直燃机技术服务第二笔回款20%</t>
  </si>
  <si>
    <t>兴安嘉业17-18年取暖费支票</t>
  </si>
  <si>
    <t>北京同方科讯《材料购销》回款</t>
  </si>
  <si>
    <t>北京世嘉酒店管理有限公司《一次PCL程序技术服务报价》回款</t>
  </si>
  <si>
    <t>蜂巢工场（北京）科技有限公司</t>
  </si>
  <si>
    <t>邓志（北京复盛机械有限公司）张家口万江商贸有限公司（压缩机销售）全款</t>
  </si>
  <si>
    <t>蜂巢工场6月加时67小时，7月加时102小时回款</t>
  </si>
  <si>
    <t>一甲（天津）机电设备安装工程股份有限公司（维修合同首款50%）</t>
  </si>
  <si>
    <t>一甲（天津）机电设备安装工程股份有限公司（尾款）回款</t>
  </si>
  <si>
    <t>大华科技工程款</t>
  </si>
  <si>
    <t>吕文才（聚佳豪庭酒店）17年直燃机服务首款60%</t>
  </si>
  <si>
    <t>通厦新奥物业管理有限公司（角阀更换）</t>
  </si>
  <si>
    <t>吕文才（聚佳豪庭酒店维保合同首款50%</t>
  </si>
  <si>
    <t>总计</t>
  </si>
  <si>
    <t>总结：从2017年1月1日至2017年11月6日，三汇能环与金科汇海、荣辉洁源一共：开票12164309.02元，收款9941267.09元。</t>
  </si>
  <si>
    <t>北京诚天成机电设备yxgs</t>
  </si>
  <si>
    <t>2016.12.23</t>
  </si>
  <si>
    <t>锅炉改造安装合同</t>
  </si>
  <si>
    <t>生效之日起3日内，支付甲方承担部分30%</t>
  </si>
  <si>
    <t>锅炉加工完毕，支付甲方承担部分70%</t>
  </si>
  <si>
    <t>开具发票报销</t>
  </si>
  <si>
    <t>包钢</t>
  </si>
  <si>
    <t>内蒙古包钢钢联股份设备动力部</t>
  </si>
  <si>
    <t>HT04201610172</t>
  </si>
  <si>
    <t>检修工程合同（试行）</t>
  </si>
  <si>
    <t>2017年2月24</t>
  </si>
  <si>
    <t>NHD-20170223-W-01-01-013</t>
  </si>
  <si>
    <t>北京活力东方购物广场直燃机超低氮燃烧机改造项目</t>
  </si>
  <si>
    <t>签订日5个工作日内70%</t>
  </si>
  <si>
    <t>验收合格10个工作日内25%</t>
  </si>
  <si>
    <t>质保期满5个工作日5%</t>
  </si>
  <si>
    <t>NHS-20160322-Q-01-01-001</t>
  </si>
  <si>
    <t>直燃机控制屏移位合同</t>
  </si>
  <si>
    <t>安装完毕后10天内付清全款</t>
  </si>
  <si>
    <t>NHS-20170516-Q-01-01-010</t>
  </si>
  <si>
    <t>净化空调控制柜移位改造及表冷器更换工程合同</t>
  </si>
  <si>
    <t>设备购销合同</t>
  </si>
  <si>
    <t>货物验收后100%付款</t>
  </si>
  <si>
    <t>材料购销合同</t>
  </si>
  <si>
    <t>卸货三日内付款</t>
  </si>
  <si>
    <t>锅炉燃烧机安装调试技术服务</t>
  </si>
  <si>
    <t>签订后5个工作日30%</t>
  </si>
  <si>
    <t>验收合格后10个工作日内70%</t>
  </si>
  <si>
    <t>北京华联直燃机燃烧机采购合同（低氮改造项目）</t>
  </si>
  <si>
    <t>签订后15日内支付50%</t>
  </si>
  <si>
    <t>安装调试完成，验收合格，15日内支付15%</t>
  </si>
  <si>
    <t>取得低氮改造奖励资金后支付30%</t>
  </si>
  <si>
    <t>质保期满支付5%</t>
  </si>
  <si>
    <t>2018年全年免费维保</t>
  </si>
  <si>
    <t>华联商厦</t>
  </si>
  <si>
    <t>北京华联商厦股份有限公司</t>
  </si>
  <si>
    <t>更换软启动</t>
  </si>
  <si>
    <t>竣工验收合格95%</t>
  </si>
  <si>
    <t>质量保证金5%</t>
  </si>
  <si>
    <t>NHS-20170726-XS-01-02-1013</t>
  </si>
  <si>
    <t>数字沙盘空调风道改造</t>
  </si>
  <si>
    <t>乙方开发票支付50%</t>
  </si>
  <si>
    <t>验收合格后45%</t>
  </si>
  <si>
    <t>质保金5%，合同中未见到质保期间</t>
  </si>
  <si>
    <t>更换冷却塔填料</t>
  </si>
  <si>
    <t>甲方验收合格，乙方提供发票，支付全款</t>
  </si>
  <si>
    <t>质保金5%，质保期结束甲方返回</t>
  </si>
  <si>
    <t>全款支付，之后交质保金</t>
  </si>
  <si>
    <t>天正屹创</t>
  </si>
  <si>
    <t>北京天正屹创工程科技有限公司</t>
  </si>
  <si>
    <t>设备出售</t>
  </si>
  <si>
    <t>款到发货20%</t>
  </si>
  <si>
    <t>30天内付清80%</t>
  </si>
  <si>
    <t>华电创投</t>
  </si>
  <si>
    <t>华电轻型燃机服务有限公司</t>
  </si>
  <si>
    <t>NHD-20170725-XS-01-01-013</t>
  </si>
  <si>
    <t>燃烧器采购合同</t>
  </si>
  <si>
    <t>生效周15日内20%预付款--财务收据</t>
  </si>
  <si>
    <t>交货验收完毕，合格交货证明各一份15日内70%</t>
  </si>
  <si>
    <t>质保期满30日内10%</t>
  </si>
  <si>
    <t>WGXH-2017-GC-050</t>
  </si>
  <si>
    <t>中信国安第一城永安宫更换空调风机机组施工合同</t>
  </si>
  <si>
    <t>签订20个工作日内20%预付款</t>
  </si>
  <si>
    <t>施工完毕检验合格后30个工作日内70%</t>
  </si>
  <si>
    <t>质量保证金10%，质保期满，无质量问题一次性支付</t>
  </si>
  <si>
    <t>华电科工西直门</t>
  </si>
  <si>
    <t>锅炉低氮改造</t>
  </si>
  <si>
    <t>签订5日内20%</t>
  </si>
  <si>
    <t>环保验收通过5个工作日内75%</t>
  </si>
  <si>
    <t>质保期1年后5个工作日内</t>
  </si>
  <si>
    <t>直燃机低氮改造合同</t>
  </si>
  <si>
    <t>签订3日内20%</t>
  </si>
  <si>
    <t>环保验收通过3个工作日内75%</t>
  </si>
  <si>
    <t>质保期1年后3个工作日内5%</t>
  </si>
  <si>
    <t>金码大厦</t>
  </si>
  <si>
    <t>北京弘通金马物业管理有限公司</t>
  </si>
  <si>
    <t>直燃机超低氮燃烧器改造合同</t>
  </si>
  <si>
    <t>签订3工作日内</t>
  </si>
  <si>
    <t>环保检测合格，且补助款到客户账</t>
  </si>
  <si>
    <t>翠微大厦</t>
  </si>
  <si>
    <t>NHD-20170915-Q-02-01-001</t>
  </si>
  <si>
    <t>直燃机低氮燃烧器改造合同</t>
  </si>
  <si>
    <t>生效一周内支付50%</t>
  </si>
  <si>
    <t>改造验收达到标准，检测合格报告出具后20日内支付45%</t>
  </si>
  <si>
    <t>竣工结算日两年后支付5%</t>
  </si>
  <si>
    <t>HASC-QTCG-2017-005</t>
  </si>
  <si>
    <t>华电产业园能源站直燃机低氮改造</t>
  </si>
  <si>
    <t>完成低氮改造补贴申请工作后，1个月内支付100%</t>
  </si>
  <si>
    <t>物制【215】018号</t>
  </si>
  <si>
    <t>采购溴化锂溶液等</t>
  </si>
  <si>
    <t>兴安嘉业</t>
  </si>
  <si>
    <t>北京市兴安嘉业物业管理服务中心</t>
  </si>
  <si>
    <t>NHG-20171108-Q-01-01-001</t>
  </si>
  <si>
    <t>2台直燃机超低氮燃烧机及配套设施拆除、安装、调试</t>
  </si>
  <si>
    <t>众信旅游</t>
  </si>
  <si>
    <t>众信旅游集团股份有限公司</t>
  </si>
  <si>
    <t>NHG-20171201-Q-01-01-044</t>
  </si>
  <si>
    <t>直燃机及锅炉超低氮燃烧改造合同</t>
  </si>
  <si>
    <t>NHG-20171130-Q-01-02-044</t>
  </si>
  <si>
    <t>空调机组低氮改造</t>
  </si>
  <si>
    <t>交货、调试凭50%合同款验收单</t>
  </si>
  <si>
    <t>完成服务补贴并卖方书面确认后40%合同款</t>
  </si>
  <si>
    <t>合同质保期24个月10%合同款</t>
  </si>
  <si>
    <t>工程改造合同</t>
  </si>
  <si>
    <t>技术服务合同</t>
  </si>
  <si>
    <t>废合同</t>
  </si>
  <si>
    <t>外包合同</t>
  </si>
  <si>
    <t>A+类客户（可以垫资5万以上）</t>
  </si>
  <si>
    <t>A类客户（可以垫资5万以下</t>
  </si>
  <si>
    <t>B类客户</t>
  </si>
  <si>
    <t>C类客户</t>
  </si>
  <si>
    <t>能报的上价，信誉好，回款快，不拖延</t>
  </si>
  <si>
    <t>接触一年以后的B类客户达到要求归A类</t>
  </si>
  <si>
    <t>北京地区事业单位、政府部门、上市公司</t>
  </si>
  <si>
    <t>首次接触的客户；回款慢，</t>
  </si>
  <si>
    <t>北京大学</t>
  </si>
  <si>
    <t>博源紫宸</t>
  </si>
  <si>
    <t>华联公益西桥</t>
  </si>
  <si>
    <t>中牧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</si>
</sst>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  <numFmt numFmtId="177" formatCode="0_ "/>
    <numFmt numFmtId="178" formatCode="yyyy&quot;年&quot;m&quot;月&quot;d&quot;日&quot;;@"/>
    <numFmt numFmtId="179" formatCode="yyyy/m/d;@"/>
    <numFmt numFmtId="180" formatCode="yyyy&quot;年&quot;m&quot;月&quot;;@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0.5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name val="宋体"/>
      <charset val="0"/>
      <scheme val="minor"/>
    </font>
    <font>
      <b/>
      <sz val="9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4" fillId="33" borderId="4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39" applyNumberFormat="0" applyFon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25" borderId="37" applyNumberFormat="0" applyAlignment="0" applyProtection="0">
      <alignment vertical="center"/>
    </xf>
    <xf numFmtId="0" fontId="35" fillId="25" borderId="42" applyNumberFormat="0" applyAlignment="0" applyProtection="0">
      <alignment vertical="center"/>
    </xf>
    <xf numFmtId="0" fontId="22" fillId="18" borderId="3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6" fillId="0" borderId="43" applyNumberFormat="0" applyFill="0" applyAlignment="0" applyProtection="0">
      <alignment vertical="center"/>
    </xf>
    <xf numFmtId="0" fontId="1" fillId="0" borderId="40" applyNumberFormat="0" applyFill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right"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31" fontId="0" fillId="0" borderId="1" xfId="0" applyNumberFormat="1" applyBorder="1" applyAlignment="1">
      <alignment horizontal="right" vertical="center"/>
    </xf>
    <xf numFmtId="0" fontId="0" fillId="2" borderId="1" xfId="0" applyFill="1" applyBorder="1">
      <alignment vertical="center"/>
    </xf>
    <xf numFmtId="31" fontId="0" fillId="2" borderId="1" xfId="0" applyNumberFormat="1" applyFill="1" applyBorder="1" applyAlignment="1">
      <alignment horizontal="right" vertical="center"/>
    </xf>
    <xf numFmtId="0" fontId="0" fillId="7" borderId="1" xfId="0" applyFill="1" applyBorder="1">
      <alignment vertical="center"/>
    </xf>
    <xf numFmtId="0" fontId="0" fillId="8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57" fontId="0" fillId="2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31" fontId="0" fillId="2" borderId="0" xfId="0" applyNumberFormat="1" applyFill="1" applyAlignment="1">
      <alignment horizontal="right" vertical="center"/>
    </xf>
    <xf numFmtId="0" fontId="0" fillId="6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31" fontId="0" fillId="0" borderId="0" xfId="0" applyNumberFormat="1" applyFill="1" applyAlignment="1">
      <alignment horizontal="right" vertical="center"/>
    </xf>
    <xf numFmtId="14" fontId="0" fillId="0" borderId="0" xfId="0" applyNumberFormat="1" applyFill="1">
      <alignment vertical="center"/>
    </xf>
    <xf numFmtId="0" fontId="1" fillId="0" borderId="0" xfId="0" applyFont="1" applyAlignment="1">
      <alignment horizontal="right" vertical="center"/>
    </xf>
    <xf numFmtId="0" fontId="0" fillId="6" borderId="0" xfId="0" applyFill="1">
      <alignment vertical="center"/>
    </xf>
    <xf numFmtId="0" fontId="0" fillId="8" borderId="0" xfId="0" applyFill="1">
      <alignment vertical="center"/>
    </xf>
    <xf numFmtId="0" fontId="0" fillId="4" borderId="0" xfId="0" applyFill="1">
      <alignment vertical="center"/>
    </xf>
    <xf numFmtId="0" fontId="0" fillId="9" borderId="0" xfId="0" applyFill="1">
      <alignment vertical="center"/>
    </xf>
    <xf numFmtId="0" fontId="0" fillId="10" borderId="1" xfId="0" applyFill="1" applyBorder="1" applyAlignment="1">
      <alignment horizontal="left" vertical="center"/>
    </xf>
    <xf numFmtId="176" fontId="2" fillId="11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7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/>
    </xf>
    <xf numFmtId="0" fontId="0" fillId="13" borderId="1" xfId="0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31" fontId="0" fillId="2" borderId="1" xfId="0" applyNumberFormat="1" applyFill="1" applyBorder="1">
      <alignment vertical="center"/>
    </xf>
    <xf numFmtId="31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31" fontId="0" fillId="2" borderId="1" xfId="0" applyNumberForma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31" fontId="0" fillId="5" borderId="1" xfId="0" applyNumberFormat="1" applyFont="1" applyFill="1" applyBorder="1">
      <alignment vertical="center"/>
    </xf>
    <xf numFmtId="0" fontId="0" fillId="5" borderId="1" xfId="0" applyFill="1" applyBorder="1" applyAlignment="1">
      <alignment horizontal="left" vertical="center"/>
    </xf>
    <xf numFmtId="31" fontId="0" fillId="5" borderId="1" xfId="0" applyNumberFormat="1" applyFill="1" applyBorder="1">
      <alignment vertical="center"/>
    </xf>
    <xf numFmtId="0" fontId="0" fillId="14" borderId="1" xfId="0" applyFill="1" applyBorder="1">
      <alignment vertical="center"/>
    </xf>
    <xf numFmtId="31" fontId="0" fillId="0" borderId="1" xfId="0" applyNumberForma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178" fontId="0" fillId="2" borderId="1" xfId="0" applyNumberForma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15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4" fontId="0" fillId="0" borderId="1" xfId="0" applyNumberFormat="1" applyFill="1" applyBorder="1">
      <alignment vertical="center"/>
    </xf>
    <xf numFmtId="14" fontId="0" fillId="2" borderId="1" xfId="0" applyNumberFormat="1" applyFill="1" applyBorder="1">
      <alignment vertical="center"/>
    </xf>
    <xf numFmtId="14" fontId="0" fillId="5" borderId="1" xfId="0" applyNumberFormat="1" applyFill="1" applyBorder="1">
      <alignment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>
      <alignment vertical="center"/>
    </xf>
    <xf numFmtId="0" fontId="0" fillId="2" borderId="1" xfId="0" applyFont="1" applyFill="1" applyBorder="1" applyAlignment="1">
      <alignment horizontal="left" vertical="center"/>
    </xf>
    <xf numFmtId="178" fontId="0" fillId="0" borderId="1" xfId="0" applyNumberFormat="1" applyBorder="1">
      <alignment vertical="center"/>
    </xf>
    <xf numFmtId="0" fontId="7" fillId="2" borderId="1" xfId="0" applyFont="1" applyFill="1" applyBorder="1">
      <alignment vertical="center"/>
    </xf>
    <xf numFmtId="0" fontId="7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6" borderId="5" xfId="0" applyNumberFormat="1" applyFont="1" applyFill="1" applyBorder="1" applyAlignment="1" applyProtection="1">
      <alignment horizontal="center" vertical="center"/>
    </xf>
    <xf numFmtId="0" fontId="15" fillId="6" borderId="6" xfId="0" applyNumberFormat="1" applyFont="1" applyFill="1" applyBorder="1" applyAlignment="1" applyProtection="1">
      <alignment horizontal="center" vertical="center"/>
    </xf>
    <xf numFmtId="0" fontId="15" fillId="6" borderId="7" xfId="0" applyNumberFormat="1" applyFont="1" applyFill="1" applyBorder="1" applyAlignment="1" applyProtection="1">
      <alignment horizontal="center" vertical="center"/>
    </xf>
    <xf numFmtId="180" fontId="15" fillId="6" borderId="5" xfId="0" applyNumberFormat="1" applyFont="1" applyFill="1" applyBorder="1" applyAlignment="1" applyProtection="1">
      <alignment horizontal="center" vertical="center"/>
    </xf>
    <xf numFmtId="180" fontId="15" fillId="6" borderId="6" xfId="0" applyNumberFormat="1" applyFont="1" applyFill="1" applyBorder="1" applyAlignment="1" applyProtection="1">
      <alignment horizontal="center" vertical="center"/>
    </xf>
    <xf numFmtId="0" fontId="15" fillId="6" borderId="8" xfId="0" applyNumberFormat="1" applyFont="1" applyFill="1" applyBorder="1" applyAlignment="1" applyProtection="1">
      <alignment horizontal="center" vertical="center"/>
    </xf>
    <xf numFmtId="0" fontId="15" fillId="6" borderId="1" xfId="0" applyNumberFormat="1" applyFont="1" applyFill="1" applyBorder="1" applyAlignment="1" applyProtection="1">
      <alignment horizontal="center" vertical="center"/>
    </xf>
    <xf numFmtId="0" fontId="15" fillId="6" borderId="4" xfId="0" applyNumberFormat="1" applyFont="1" applyFill="1" applyBorder="1" applyAlignment="1" applyProtection="1">
      <alignment horizontal="center" vertical="center"/>
    </xf>
    <xf numFmtId="0" fontId="15" fillId="6" borderId="9" xfId="0" applyNumberFormat="1" applyFont="1" applyFill="1" applyBorder="1" applyAlignment="1" applyProtection="1">
      <alignment vertical="center"/>
    </xf>
    <xf numFmtId="0" fontId="15" fillId="6" borderId="2" xfId="0" applyNumberFormat="1" applyFont="1" applyFill="1" applyBorder="1" applyAlignment="1" applyProtection="1">
      <alignment vertical="center"/>
    </xf>
    <xf numFmtId="0" fontId="15" fillId="6" borderId="8" xfId="0" applyNumberFormat="1" applyFont="1" applyFill="1" applyBorder="1" applyAlignment="1" applyProtection="1">
      <alignment vertical="center"/>
    </xf>
    <xf numFmtId="0" fontId="15" fillId="6" borderId="1" xfId="0" applyNumberFormat="1" applyFont="1" applyFill="1" applyBorder="1" applyAlignment="1" applyProtection="1">
      <alignment vertical="center"/>
    </xf>
    <xf numFmtId="0" fontId="7" fillId="6" borderId="1" xfId="0" applyNumberFormat="1" applyFont="1" applyFill="1" applyBorder="1" applyAlignment="1" applyProtection="1">
      <alignment horizontal="center" vertical="center"/>
    </xf>
    <xf numFmtId="0" fontId="15" fillId="6" borderId="4" xfId="0" applyNumberFormat="1" applyFont="1" applyFill="1" applyBorder="1" applyAlignment="1" applyProtection="1">
      <alignment vertical="center"/>
    </xf>
    <xf numFmtId="0" fontId="15" fillId="6" borderId="5" xfId="0" applyNumberFormat="1" applyFont="1" applyFill="1" applyBorder="1" applyAlignment="1" applyProtection="1">
      <alignment vertical="center"/>
    </xf>
    <xf numFmtId="0" fontId="15" fillId="6" borderId="6" xfId="0" applyNumberFormat="1" applyFont="1" applyFill="1" applyBorder="1" applyAlignment="1" applyProtection="1">
      <alignment vertical="center"/>
    </xf>
    <xf numFmtId="0" fontId="15" fillId="4" borderId="8" xfId="0" applyNumberFormat="1" applyFont="1" applyFill="1" applyBorder="1" applyAlignment="1" applyProtection="1">
      <alignment vertical="center"/>
    </xf>
    <xf numFmtId="0" fontId="15" fillId="4" borderId="1" xfId="0" applyNumberFormat="1" applyFont="1" applyFill="1" applyBorder="1" applyAlignment="1" applyProtection="1">
      <alignment vertical="center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15" fillId="4" borderId="4" xfId="0" applyNumberFormat="1" applyFont="1" applyFill="1" applyBorder="1" applyAlignment="1" applyProtection="1">
      <alignment vertical="center"/>
    </xf>
    <xf numFmtId="0" fontId="15" fillId="4" borderId="5" xfId="0" applyNumberFormat="1" applyFont="1" applyFill="1" applyBorder="1" applyAlignment="1" applyProtection="1">
      <alignment vertical="center"/>
    </xf>
    <xf numFmtId="0" fontId="15" fillId="4" borderId="6" xfId="0" applyNumberFormat="1" applyFont="1" applyFill="1" applyBorder="1" applyAlignment="1" applyProtection="1">
      <alignment vertical="center"/>
    </xf>
    <xf numFmtId="180" fontId="15" fillId="6" borderId="10" xfId="0" applyNumberFormat="1" applyFont="1" applyFill="1" applyBorder="1" applyAlignment="1" applyProtection="1">
      <alignment horizontal="center" vertical="center"/>
    </xf>
    <xf numFmtId="0" fontId="15" fillId="6" borderId="11" xfId="0" applyNumberFormat="1" applyFont="1" applyFill="1" applyBorder="1" applyAlignment="1" applyProtection="1">
      <alignment vertical="center"/>
    </xf>
    <xf numFmtId="0" fontId="15" fillId="6" borderId="10" xfId="0" applyNumberFormat="1" applyFont="1" applyFill="1" applyBorder="1" applyAlignment="1" applyProtection="1">
      <alignment vertical="center"/>
    </xf>
    <xf numFmtId="0" fontId="15" fillId="4" borderId="10" xfId="0" applyNumberFormat="1" applyFont="1" applyFill="1" applyBorder="1" applyAlignment="1" applyProtection="1">
      <alignment vertical="center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15" fillId="6" borderId="12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7" fillId="7" borderId="0" xfId="0" applyNumberFormat="1" applyFont="1" applyFill="1" applyBorder="1" applyAlignment="1" applyProtection="1">
      <alignment vertical="center"/>
    </xf>
    <xf numFmtId="0" fontId="17" fillId="7" borderId="0" xfId="0" applyNumberFormat="1" applyFont="1" applyFill="1" applyAlignment="1" applyProtection="1">
      <alignment vertical="center"/>
    </xf>
    <xf numFmtId="0" fontId="18" fillId="15" borderId="0" xfId="0" applyFont="1" applyFill="1">
      <alignment vertical="center"/>
    </xf>
    <xf numFmtId="0" fontId="18" fillId="5" borderId="0" xfId="0" applyFont="1" applyFill="1">
      <alignment vertical="center"/>
    </xf>
    <xf numFmtId="0" fontId="18" fillId="7" borderId="0" xfId="0" applyFont="1" applyFill="1">
      <alignment vertical="center"/>
    </xf>
    <xf numFmtId="0" fontId="0" fillId="7" borderId="0" xfId="0" applyFill="1">
      <alignment vertical="center"/>
    </xf>
    <xf numFmtId="0" fontId="19" fillId="7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15" borderId="1" xfId="0" applyFont="1" applyFill="1" applyBorder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6" borderId="5" xfId="0" applyNumberFormat="1" applyFont="1" applyFill="1" applyBorder="1" applyAlignment="1" applyProtection="1">
      <alignment horizontal="center" vertical="center"/>
    </xf>
    <xf numFmtId="0" fontId="17" fillId="6" borderId="6" xfId="0" applyNumberFormat="1" applyFont="1" applyFill="1" applyBorder="1" applyAlignment="1" applyProtection="1">
      <alignment horizontal="center" vertical="center"/>
    </xf>
    <xf numFmtId="0" fontId="17" fillId="6" borderId="15" xfId="0" applyNumberFormat="1" applyFont="1" applyFill="1" applyBorder="1" applyAlignment="1" applyProtection="1">
      <alignment horizontal="center" vertical="center"/>
    </xf>
    <xf numFmtId="0" fontId="17" fillId="6" borderId="8" xfId="0" applyNumberFormat="1" applyFont="1" applyFill="1" applyBorder="1" applyAlignment="1" applyProtection="1">
      <alignment horizontal="center" vertical="center"/>
    </xf>
    <xf numFmtId="0" fontId="17" fillId="6" borderId="1" xfId="0" applyNumberFormat="1" applyFont="1" applyFill="1" applyBorder="1" applyAlignment="1" applyProtection="1">
      <alignment horizontal="center" vertical="center"/>
    </xf>
    <xf numFmtId="0" fontId="17" fillId="6" borderId="3" xfId="0" applyNumberFormat="1" applyFont="1" applyFill="1" applyBorder="1" applyAlignment="1" applyProtection="1">
      <alignment horizontal="center" vertical="center"/>
    </xf>
    <xf numFmtId="0" fontId="17" fillId="7" borderId="8" xfId="0" applyNumberFormat="1" applyFont="1" applyFill="1" applyBorder="1" applyAlignment="1" applyProtection="1">
      <alignment horizontal="center" vertical="center"/>
    </xf>
    <xf numFmtId="0" fontId="20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center" vertical="center"/>
    </xf>
    <xf numFmtId="0" fontId="17" fillId="7" borderId="1" xfId="0" applyNumberFormat="1" applyFont="1" applyFill="1" applyBorder="1" applyAlignment="1" applyProtection="1">
      <alignment vertical="center"/>
    </xf>
    <xf numFmtId="0" fontId="17" fillId="7" borderId="1" xfId="0" applyNumberFormat="1" applyFont="1" applyFill="1" applyBorder="1" applyAlignment="1" applyProtection="1">
      <alignment vertical="center" wrapText="1"/>
    </xf>
    <xf numFmtId="0" fontId="17" fillId="7" borderId="1" xfId="0" applyNumberFormat="1" applyFont="1" applyFill="1" applyBorder="1" applyAlignment="1" applyProtection="1">
      <alignment horizontal="center" vertical="center"/>
    </xf>
    <xf numFmtId="0" fontId="21" fillId="7" borderId="1" xfId="0" applyNumberFormat="1" applyFont="1" applyFill="1" applyBorder="1" applyAlignment="1" applyProtection="1">
      <alignment vertical="center"/>
    </xf>
    <xf numFmtId="0" fontId="18" fillId="7" borderId="1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7" fillId="15" borderId="8" xfId="0" applyNumberFormat="1" applyFont="1" applyFill="1" applyBorder="1" applyAlignment="1" applyProtection="1">
      <alignment horizontal="center" vertical="center"/>
    </xf>
    <xf numFmtId="0" fontId="20" fillId="15" borderId="1" xfId="0" applyFont="1" applyFill="1" applyBorder="1" applyAlignment="1">
      <alignment vertical="center"/>
    </xf>
    <xf numFmtId="0" fontId="18" fillId="15" borderId="1" xfId="0" applyFont="1" applyFill="1" applyBorder="1" applyAlignment="1">
      <alignment horizontal="center" vertical="center"/>
    </xf>
    <xf numFmtId="0" fontId="17" fillId="5" borderId="8" xfId="0" applyNumberFormat="1" applyFont="1" applyFill="1" applyBorder="1" applyAlignment="1" applyProtection="1">
      <alignment horizontal="center" vertical="center"/>
    </xf>
    <xf numFmtId="0" fontId="20" fillId="5" borderId="1" xfId="0" applyFont="1" applyFill="1" applyBorder="1" applyAlignment="1">
      <alignment vertical="center"/>
    </xf>
    <xf numFmtId="0" fontId="18" fillId="5" borderId="1" xfId="0" applyFont="1" applyFill="1" applyBorder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7" borderId="1" xfId="0" applyFont="1" applyFill="1" applyBorder="1">
      <alignment vertical="center"/>
    </xf>
    <xf numFmtId="0" fontId="18" fillId="4" borderId="8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8" fillId="7" borderId="0" xfId="0" applyFont="1" applyFill="1" applyAlignment="1">
      <alignment horizontal="left" vertical="center"/>
    </xf>
    <xf numFmtId="0" fontId="18" fillId="7" borderId="1" xfId="0" applyFont="1" applyFill="1" applyBorder="1" applyAlignment="1">
      <alignment horizontal="left" vertical="center"/>
    </xf>
    <xf numFmtId="0" fontId="18" fillId="7" borderId="8" xfId="0" applyFont="1" applyFill="1" applyBorder="1" applyAlignment="1">
      <alignment horizontal="center" vertical="center"/>
    </xf>
    <xf numFmtId="0" fontId="17" fillId="6" borderId="10" xfId="0" applyNumberFormat="1" applyFont="1" applyFill="1" applyBorder="1" applyAlignment="1" applyProtection="1">
      <alignment horizontal="center" vertical="center"/>
    </xf>
    <xf numFmtId="0" fontId="19" fillId="6" borderId="5" xfId="0" applyNumberFormat="1" applyFont="1" applyFill="1" applyBorder="1" applyAlignment="1" applyProtection="1">
      <alignment horizontal="center" vertical="center"/>
    </xf>
    <xf numFmtId="0" fontId="19" fillId="6" borderId="6" xfId="0" applyNumberFormat="1" applyFont="1" applyFill="1" applyBorder="1" applyAlignment="1" applyProtection="1">
      <alignment horizontal="center" vertical="center"/>
    </xf>
    <xf numFmtId="0" fontId="17" fillId="6" borderId="16" xfId="0" applyNumberFormat="1" applyFont="1" applyFill="1" applyBorder="1" applyAlignment="1" applyProtection="1">
      <alignment vertical="center"/>
    </xf>
    <xf numFmtId="0" fontId="19" fillId="6" borderId="9" xfId="0" applyNumberFormat="1" applyFont="1" applyFill="1" applyBorder="1" applyAlignment="1" applyProtection="1">
      <alignment vertical="center"/>
    </xf>
    <xf numFmtId="0" fontId="19" fillId="6" borderId="2" xfId="0" applyNumberFormat="1" applyFont="1" applyFill="1" applyBorder="1" applyAlignment="1" applyProtection="1">
      <alignment vertical="center"/>
    </xf>
    <xf numFmtId="31" fontId="17" fillId="7" borderId="1" xfId="0" applyNumberFormat="1" applyFont="1" applyFill="1" applyBorder="1" applyAlignment="1" applyProtection="1">
      <alignment vertical="center"/>
    </xf>
    <xf numFmtId="0" fontId="17" fillId="7" borderId="16" xfId="0" applyNumberFormat="1" applyFont="1" applyFill="1" applyBorder="1" applyAlignment="1" applyProtection="1">
      <alignment vertical="center" wrapText="1"/>
    </xf>
    <xf numFmtId="0" fontId="19" fillId="7" borderId="8" xfId="0" applyNumberFormat="1" applyFont="1" applyFill="1" applyBorder="1" applyAlignment="1" applyProtection="1">
      <alignment vertical="center"/>
    </xf>
    <xf numFmtId="10" fontId="19" fillId="7" borderId="1" xfId="0" applyNumberFormat="1" applyFont="1" applyFill="1" applyBorder="1" applyAlignment="1" applyProtection="1">
      <alignment vertical="center"/>
    </xf>
    <xf numFmtId="0" fontId="17" fillId="7" borderId="16" xfId="0" applyNumberFormat="1" applyFont="1" applyFill="1" applyBorder="1" applyAlignment="1" applyProtection="1">
      <alignment vertical="center"/>
    </xf>
    <xf numFmtId="0" fontId="18" fillId="7" borderId="1" xfId="0" applyFont="1" applyFill="1" applyBorder="1" applyAlignment="1">
      <alignment vertical="center" wrapText="1"/>
    </xf>
    <xf numFmtId="0" fontId="18" fillId="15" borderId="1" xfId="0" applyFont="1" applyFill="1" applyBorder="1" applyAlignment="1">
      <alignment vertical="center"/>
    </xf>
    <xf numFmtId="0" fontId="18" fillId="15" borderId="16" xfId="0" applyFont="1" applyFill="1" applyBorder="1" applyAlignment="1">
      <alignment vertical="center" wrapText="1"/>
    </xf>
    <xf numFmtId="0" fontId="19" fillId="15" borderId="8" xfId="0" applyNumberFormat="1" applyFont="1" applyFill="1" applyBorder="1" applyAlignment="1" applyProtection="1">
      <alignment vertical="center"/>
    </xf>
    <xf numFmtId="10" fontId="19" fillId="15" borderId="1" xfId="0" applyNumberFormat="1" applyFont="1" applyFill="1" applyBorder="1" applyAlignment="1" applyProtection="1">
      <alignment vertical="center"/>
    </xf>
    <xf numFmtId="0" fontId="17" fillId="5" borderId="1" xfId="0" applyNumberFormat="1" applyFont="1" applyFill="1" applyBorder="1" applyAlignment="1" applyProtection="1">
      <alignment vertical="center"/>
    </xf>
    <xf numFmtId="0" fontId="18" fillId="5" borderId="16" xfId="0" applyFont="1" applyFill="1" applyBorder="1" applyAlignment="1">
      <alignment vertical="center" wrapText="1"/>
    </xf>
    <xf numFmtId="0" fontId="19" fillId="5" borderId="8" xfId="0" applyNumberFormat="1" applyFont="1" applyFill="1" applyBorder="1" applyAlignment="1" applyProtection="1">
      <alignment vertical="center"/>
    </xf>
    <xf numFmtId="10" fontId="19" fillId="5" borderId="1" xfId="0" applyNumberFormat="1" applyFont="1" applyFill="1" applyBorder="1" applyAlignment="1" applyProtection="1">
      <alignment vertical="center"/>
    </xf>
    <xf numFmtId="0" fontId="18" fillId="7" borderId="16" xfId="0" applyFont="1" applyFill="1" applyBorder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4" borderId="16" xfId="0" applyFont="1" applyFill="1" applyBorder="1">
      <alignment vertical="center"/>
    </xf>
    <xf numFmtId="0" fontId="19" fillId="4" borderId="8" xfId="0" applyNumberFormat="1" applyFont="1" applyFill="1" applyBorder="1" applyAlignment="1" applyProtection="1">
      <alignment vertical="center"/>
    </xf>
    <xf numFmtId="10" fontId="19" fillId="4" borderId="1" xfId="0" applyNumberFormat="1" applyFont="1" applyFill="1" applyBorder="1" applyAlignment="1" applyProtection="1">
      <alignment vertical="center"/>
    </xf>
    <xf numFmtId="0" fontId="18" fillId="0" borderId="16" xfId="0" applyFont="1" applyBorder="1">
      <alignment vertical="center"/>
    </xf>
    <xf numFmtId="0" fontId="19" fillId="6" borderId="8" xfId="0" applyNumberFormat="1" applyFont="1" applyFill="1" applyBorder="1" applyAlignment="1" applyProtection="1">
      <alignment vertical="center"/>
    </xf>
    <xf numFmtId="10" fontId="19" fillId="6" borderId="1" xfId="0" applyNumberFormat="1" applyFont="1" applyFill="1" applyBorder="1" applyAlignment="1" applyProtection="1">
      <alignment vertical="center"/>
    </xf>
    <xf numFmtId="0" fontId="18" fillId="7" borderId="16" xfId="0" applyFont="1" applyFill="1" applyBorder="1" applyAlignment="1">
      <alignment vertical="center" wrapText="1"/>
    </xf>
    <xf numFmtId="0" fontId="19" fillId="7" borderId="17" xfId="0" applyNumberFormat="1" applyFont="1" applyFill="1" applyBorder="1" applyAlignment="1" applyProtection="1">
      <alignment vertical="center"/>
    </xf>
    <xf numFmtId="0" fontId="18" fillId="7" borderId="4" xfId="0" applyFont="1" applyFill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9" fillId="6" borderId="10" xfId="0" applyNumberFormat="1" applyFont="1" applyFill="1" applyBorder="1" applyAlignment="1" applyProtection="1">
      <alignment horizontal="center" vertical="center"/>
    </xf>
    <xf numFmtId="180" fontId="17" fillId="6" borderId="18" xfId="0" applyNumberFormat="1" applyFont="1" applyFill="1" applyBorder="1" applyAlignment="1" applyProtection="1">
      <alignment horizontal="center" vertical="center"/>
    </xf>
    <xf numFmtId="180" fontId="17" fillId="6" borderId="17" xfId="0" applyNumberFormat="1" applyFont="1" applyFill="1" applyBorder="1" applyAlignment="1" applyProtection="1">
      <alignment horizontal="center" vertical="center"/>
    </xf>
    <xf numFmtId="180" fontId="17" fillId="6" borderId="4" xfId="0" applyNumberFormat="1" applyFont="1" applyFill="1" applyBorder="1" applyAlignment="1" applyProtection="1">
      <alignment horizontal="center" vertical="center"/>
    </xf>
    <xf numFmtId="0" fontId="19" fillId="6" borderId="11" xfId="0" applyNumberFormat="1" applyFont="1" applyFill="1" applyBorder="1" applyAlignment="1" applyProtection="1">
      <alignment vertical="center"/>
    </xf>
    <xf numFmtId="0" fontId="17" fillId="6" borderId="19" xfId="0" applyNumberFormat="1" applyFont="1" applyFill="1" applyBorder="1" applyAlignment="1" applyProtection="1">
      <alignment vertical="center"/>
    </xf>
    <xf numFmtId="0" fontId="17" fillId="6" borderId="2" xfId="0" applyNumberFormat="1" applyFont="1" applyFill="1" applyBorder="1" applyAlignment="1" applyProtection="1">
      <alignment vertical="center"/>
    </xf>
    <xf numFmtId="0" fontId="19" fillId="7" borderId="1" xfId="0" applyNumberFormat="1" applyFont="1" applyFill="1" applyBorder="1" applyAlignment="1" applyProtection="1">
      <alignment vertical="center"/>
    </xf>
    <xf numFmtId="10" fontId="19" fillId="7" borderId="16" xfId="0" applyNumberFormat="1" applyFont="1" applyFill="1" applyBorder="1" applyAlignment="1" applyProtection="1">
      <alignment vertical="center"/>
    </xf>
    <xf numFmtId="0" fontId="17" fillId="7" borderId="17" xfId="0" applyNumberFormat="1" applyFont="1" applyFill="1" applyBorder="1" applyAlignment="1" applyProtection="1">
      <alignment vertical="center"/>
    </xf>
    <xf numFmtId="0" fontId="19" fillId="15" borderId="1" xfId="0" applyNumberFormat="1" applyFont="1" applyFill="1" applyBorder="1" applyAlignment="1" applyProtection="1">
      <alignment vertical="center"/>
    </xf>
    <xf numFmtId="10" fontId="19" fillId="15" borderId="16" xfId="0" applyNumberFormat="1" applyFont="1" applyFill="1" applyBorder="1" applyAlignment="1" applyProtection="1">
      <alignment vertical="center"/>
    </xf>
    <xf numFmtId="0" fontId="17" fillId="15" borderId="17" xfId="0" applyNumberFormat="1" applyFont="1" applyFill="1" applyBorder="1" applyAlignment="1" applyProtection="1">
      <alignment vertical="center"/>
    </xf>
    <xf numFmtId="0" fontId="17" fillId="15" borderId="1" xfId="0" applyNumberFormat="1" applyFont="1" applyFill="1" applyBorder="1" applyAlignment="1" applyProtection="1">
      <alignment vertical="center"/>
    </xf>
    <xf numFmtId="0" fontId="19" fillId="5" borderId="1" xfId="0" applyNumberFormat="1" applyFont="1" applyFill="1" applyBorder="1" applyAlignment="1" applyProtection="1">
      <alignment vertical="center"/>
    </xf>
    <xf numFmtId="10" fontId="19" fillId="5" borderId="16" xfId="0" applyNumberFormat="1" applyFont="1" applyFill="1" applyBorder="1" applyAlignment="1" applyProtection="1">
      <alignment vertical="center"/>
    </xf>
    <xf numFmtId="0" fontId="17" fillId="5" borderId="17" xfId="0" applyNumberFormat="1" applyFont="1" applyFill="1" applyBorder="1" applyAlignment="1" applyProtection="1">
      <alignment vertical="center"/>
    </xf>
    <xf numFmtId="10" fontId="19" fillId="4" borderId="16" xfId="0" applyNumberFormat="1" applyFont="1" applyFill="1" applyBorder="1" applyAlignment="1" applyProtection="1">
      <alignment vertical="center"/>
    </xf>
    <xf numFmtId="0" fontId="18" fillId="4" borderId="17" xfId="0" applyFont="1" applyFill="1" applyBorder="1">
      <alignment vertical="center"/>
    </xf>
    <xf numFmtId="0" fontId="18" fillId="7" borderId="17" xfId="0" applyFont="1" applyFill="1" applyBorder="1">
      <alignment vertical="center"/>
    </xf>
    <xf numFmtId="0" fontId="19" fillId="6" borderId="1" xfId="0" applyNumberFormat="1" applyFont="1" applyFill="1" applyBorder="1" applyAlignment="1" applyProtection="1">
      <alignment vertical="center"/>
    </xf>
    <xf numFmtId="10" fontId="19" fillId="6" borderId="16" xfId="0" applyNumberFormat="1" applyFont="1" applyFill="1" applyBorder="1" applyAlignment="1" applyProtection="1">
      <alignment vertical="center"/>
    </xf>
    <xf numFmtId="0" fontId="18" fillId="0" borderId="17" xfId="0" applyFont="1" applyBorder="1">
      <alignment vertical="center"/>
    </xf>
    <xf numFmtId="0" fontId="19" fillId="4" borderId="17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7" fillId="0" borderId="2" xfId="0" applyNumberFormat="1" applyFont="1" applyFill="1" applyBorder="1" applyAlignment="1" applyProtection="1">
      <alignment vertical="center"/>
    </xf>
    <xf numFmtId="0" fontId="18" fillId="0" borderId="8" xfId="0" applyFont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5" borderId="17" xfId="0" applyFont="1" applyFill="1" applyBorder="1">
      <alignment vertical="center"/>
    </xf>
    <xf numFmtId="0" fontId="18" fillId="7" borderId="8" xfId="0" applyFont="1" applyFill="1" applyBorder="1">
      <alignment vertical="center"/>
    </xf>
    <xf numFmtId="0" fontId="18" fillId="7" borderId="4" xfId="0" applyFont="1" applyFill="1" applyBorder="1">
      <alignment vertical="center"/>
    </xf>
    <xf numFmtId="0" fontId="19" fillId="7" borderId="8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vertical="center"/>
    </xf>
    <xf numFmtId="14" fontId="19" fillId="7" borderId="1" xfId="0" applyNumberFormat="1" applyFont="1" applyFill="1" applyBorder="1" applyAlignment="1">
      <alignment horizontal="left" vertical="center"/>
    </xf>
    <xf numFmtId="0" fontId="19" fillId="7" borderId="1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left" vertical="center"/>
    </xf>
    <xf numFmtId="0" fontId="19" fillId="7" borderId="4" xfId="0" applyFont="1" applyFill="1" applyBorder="1" applyAlignment="1">
      <alignment vertical="center"/>
    </xf>
    <xf numFmtId="0" fontId="17" fillId="15" borderId="1" xfId="0" applyNumberFormat="1" applyFont="1" applyFill="1" applyBorder="1" applyAlignment="1" applyProtection="1">
      <alignment vertical="center" wrapText="1"/>
    </xf>
    <xf numFmtId="0" fontId="17" fillId="15" borderId="1" xfId="0" applyNumberFormat="1" applyFont="1" applyFill="1" applyBorder="1" applyAlignment="1" applyProtection="1">
      <alignment horizontal="center" vertical="center"/>
    </xf>
    <xf numFmtId="0" fontId="18" fillId="6" borderId="12" xfId="0" applyFont="1" applyFill="1" applyBorder="1">
      <alignment vertical="center"/>
    </xf>
    <xf numFmtId="0" fontId="18" fillId="6" borderId="13" xfId="0" applyFont="1" applyFill="1" applyBorder="1">
      <alignment vertical="center"/>
    </xf>
    <xf numFmtId="0" fontId="18" fillId="6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vertical="center" wrapText="1"/>
    </xf>
    <xf numFmtId="179" fontId="17" fillId="15" borderId="1" xfId="0" applyNumberFormat="1" applyFont="1" applyFill="1" applyBorder="1" applyAlignment="1" applyProtection="1">
      <alignment horizontal="left" vertical="center"/>
    </xf>
    <xf numFmtId="0" fontId="19" fillId="15" borderId="1" xfId="0" applyFont="1" applyFill="1" applyBorder="1" applyAlignment="1">
      <alignment vertical="center"/>
    </xf>
    <xf numFmtId="0" fontId="18" fillId="6" borderId="20" xfId="0" applyFont="1" applyFill="1" applyBorder="1">
      <alignment vertical="center"/>
    </xf>
    <xf numFmtId="0" fontId="18" fillId="6" borderId="21" xfId="0" applyFont="1" applyFill="1" applyBorder="1">
      <alignment vertical="center"/>
    </xf>
    <xf numFmtId="10" fontId="18" fillId="6" borderId="13" xfId="0" applyNumberFormat="1" applyFont="1" applyFill="1" applyBorder="1">
      <alignment vertical="center"/>
    </xf>
    <xf numFmtId="0" fontId="18" fillId="6" borderId="0" xfId="0" applyFont="1" applyFill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6" borderId="8" xfId="0" applyFill="1" applyBorder="1">
      <alignment vertical="center"/>
    </xf>
    <xf numFmtId="0" fontId="0" fillId="6" borderId="4" xfId="0" applyFill="1" applyBorder="1">
      <alignment vertical="center"/>
    </xf>
    <xf numFmtId="0" fontId="0" fillId="0" borderId="24" xfId="0" applyBorder="1">
      <alignment vertical="center"/>
    </xf>
    <xf numFmtId="0" fontId="0" fillId="15" borderId="1" xfId="0" applyFill="1" applyBorder="1">
      <alignment vertical="center"/>
    </xf>
    <xf numFmtId="0" fontId="0" fillId="0" borderId="24" xfId="0" applyBorder="1" applyAlignment="1">
      <alignment horizontal="right" vertical="center"/>
    </xf>
    <xf numFmtId="0" fontId="0" fillId="4" borderId="8" xfId="0" applyFill="1" applyBorder="1">
      <alignment vertical="center"/>
    </xf>
    <xf numFmtId="0" fontId="0" fillId="4" borderId="4" xfId="0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10" fontId="0" fillId="6" borderId="26" xfId="0" applyNumberFormat="1" applyFill="1" applyBorder="1">
      <alignment vertical="center"/>
    </xf>
    <xf numFmtId="10" fontId="0" fillId="4" borderId="26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10" fontId="0" fillId="6" borderId="1" xfId="0" applyNumberFormat="1" applyFill="1" applyBorder="1">
      <alignment vertical="center"/>
    </xf>
    <xf numFmtId="10" fontId="0" fillId="4" borderId="1" xfId="0" applyNumberFormat="1" applyFill="1" applyBorder="1">
      <alignment vertical="center"/>
    </xf>
    <xf numFmtId="0" fontId="0" fillId="4" borderId="17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0" borderId="16" xfId="0" applyFill="1" applyBorder="1">
      <alignment vertical="center"/>
    </xf>
    <xf numFmtId="0" fontId="0" fillId="6" borderId="32" xfId="0" applyFill="1" applyBorder="1">
      <alignment vertical="center"/>
    </xf>
    <xf numFmtId="0" fontId="0" fillId="6" borderId="33" xfId="0" applyFill="1" applyBorder="1">
      <alignment vertical="center"/>
    </xf>
    <xf numFmtId="0" fontId="0" fillId="6" borderId="34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FF"/>
      <color rgb="0000B05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&#19977;&#27719;&#33021;&#29615;&#23458;&#25143;&#36164;&#26009;&#34920;2018.1.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资料表"/>
      <sheetName val="工程、安装"/>
      <sheetName val="维修、维保、清洗、运行"/>
      <sheetName val="申报印花税明细"/>
      <sheetName val="Sheet1"/>
    </sheetNames>
    <sheetDataSet>
      <sheetData sheetId="0"/>
      <sheetData sheetId="1">
        <row r="30">
          <cell r="K30">
            <v>2638691.25</v>
          </cell>
          <cell r="L30">
            <v>3092669.25</v>
          </cell>
        </row>
        <row r="30">
          <cell r="P30">
            <v>1440342.125</v>
          </cell>
          <cell r="Q30">
            <v>1375622.125</v>
          </cell>
        </row>
        <row r="30">
          <cell r="U30">
            <v>446500</v>
          </cell>
          <cell r="V30">
            <v>414000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44"/>
  <sheetViews>
    <sheetView workbookViewId="0">
      <pane xSplit="8" ySplit="13" topLeftCell="Z14" activePane="bottomRight" state="frozen"/>
      <selection/>
      <selection pane="topRight"/>
      <selection pane="bottomLeft"/>
      <selection pane="bottomRight" activeCell="AC18" sqref="AC18"/>
    </sheetView>
  </sheetViews>
  <sheetFormatPr defaultColWidth="9" defaultRowHeight="13.5"/>
  <cols>
    <col min="7" max="7" width="9.375"/>
    <col min="11" max="11" width="11.5"/>
    <col min="24" max="24" width="10.375"/>
    <col min="26" max="27" width="12.625"/>
    <col min="28" max="28" width="13.875" customWidth="1"/>
    <col min="29" max="29" width="18.75" customWidth="1"/>
    <col min="30" max="30" width="19" customWidth="1"/>
    <col min="31" max="31" width="17.25" customWidth="1"/>
    <col min="32" max="32" width="17.75" customWidth="1"/>
    <col min="33" max="33" width="11.5"/>
    <col min="34" max="34" width="10.375"/>
    <col min="35" max="35" width="13.875" customWidth="1"/>
    <col min="36" max="36" width="12.75" customWidth="1"/>
    <col min="37" max="37" width="11.75" customWidth="1"/>
    <col min="38" max="38" width="12.75" customWidth="1"/>
    <col min="39" max="39" width="9" customWidth="1"/>
    <col min="40" max="40" width="12.75" customWidth="1"/>
    <col min="41" max="41" width="9" customWidth="1"/>
    <col min="42" max="42" width="12.75" customWidth="1"/>
    <col min="43" max="43" width="9" customWidth="1"/>
  </cols>
  <sheetData>
    <row r="1" spans="1:43">
      <c r="A1" s="270" t="s">
        <v>0</v>
      </c>
      <c r="B1" s="271"/>
      <c r="C1" s="272"/>
      <c r="D1" s="272"/>
      <c r="E1" s="273" t="s">
        <v>1</v>
      </c>
      <c r="F1" s="271"/>
      <c r="G1" s="271"/>
      <c r="H1" s="271"/>
      <c r="I1" s="271"/>
      <c r="J1" s="271"/>
      <c r="K1" s="271"/>
      <c r="L1" s="287"/>
      <c r="M1" s="270" t="s">
        <v>2</v>
      </c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87"/>
      <c r="Z1" s="270" t="s">
        <v>3</v>
      </c>
      <c r="AA1" s="271"/>
      <c r="AB1" s="271"/>
      <c r="AC1" s="271"/>
      <c r="AD1" s="271"/>
      <c r="AE1" s="271"/>
      <c r="AF1" s="272"/>
      <c r="AG1" s="270" t="s">
        <v>4</v>
      </c>
      <c r="AH1" s="271"/>
      <c r="AI1" s="271"/>
      <c r="AJ1" s="271"/>
      <c r="AK1" s="271"/>
      <c r="AL1" s="271"/>
      <c r="AM1" s="271"/>
      <c r="AN1" s="271"/>
      <c r="AO1" s="271"/>
      <c r="AP1" s="271"/>
      <c r="AQ1" s="312"/>
    </row>
    <row r="2" ht="24" customHeight="1" spans="1:43">
      <c r="A2" s="274" t="s">
        <v>5</v>
      </c>
      <c r="B2" s="274" t="s">
        <v>6</v>
      </c>
      <c r="C2" s="274" t="s">
        <v>7</v>
      </c>
      <c r="D2" s="275" t="s">
        <v>8</v>
      </c>
      <c r="E2" s="276" t="s">
        <v>9</v>
      </c>
      <c r="F2" s="277" t="s">
        <v>10</v>
      </c>
      <c r="G2" s="274" t="s">
        <v>11</v>
      </c>
      <c r="H2" s="274" t="s">
        <v>12</v>
      </c>
      <c r="I2" s="274" t="s">
        <v>13</v>
      </c>
      <c r="J2" s="274" t="s">
        <v>14</v>
      </c>
      <c r="K2" s="275" t="s">
        <v>15</v>
      </c>
      <c r="L2" s="288" t="s">
        <v>16</v>
      </c>
      <c r="M2" s="277" t="s">
        <v>9</v>
      </c>
      <c r="N2" s="274" t="s">
        <v>10</v>
      </c>
      <c r="O2" s="274" t="s">
        <v>11</v>
      </c>
      <c r="P2" s="274" t="s">
        <v>12</v>
      </c>
      <c r="Q2" s="274" t="s">
        <v>13</v>
      </c>
      <c r="R2" s="274" t="s">
        <v>14</v>
      </c>
      <c r="S2" s="291" t="s">
        <v>17</v>
      </c>
      <c r="T2" s="292"/>
      <c r="U2" s="274" t="s">
        <v>18</v>
      </c>
      <c r="V2" s="274" t="s">
        <v>19</v>
      </c>
      <c r="W2" s="291" t="s">
        <v>20</v>
      </c>
      <c r="X2" s="275" t="s">
        <v>15</v>
      </c>
      <c r="Y2" s="288" t="s">
        <v>16</v>
      </c>
      <c r="Z2" s="299" t="s">
        <v>21</v>
      </c>
      <c r="AA2" s="291" t="s">
        <v>22</v>
      </c>
      <c r="AB2" s="300" t="s">
        <v>23</v>
      </c>
      <c r="AC2" s="274" t="s">
        <v>24</v>
      </c>
      <c r="AD2" s="274"/>
      <c r="AE2" s="274"/>
      <c r="AF2" s="275"/>
      <c r="AG2" s="308" t="s">
        <v>21</v>
      </c>
      <c r="AH2" s="302" t="s">
        <v>22</v>
      </c>
      <c r="AI2" s="302" t="s">
        <v>23</v>
      </c>
      <c r="AJ2" s="275" t="s">
        <v>24</v>
      </c>
      <c r="AK2" s="309"/>
      <c r="AL2" s="309"/>
      <c r="AM2" s="309"/>
      <c r="AN2" s="309"/>
      <c r="AO2" s="309"/>
      <c r="AP2" s="309"/>
      <c r="AQ2" s="313"/>
    </row>
    <row r="3" ht="27.75" customHeight="1" spans="1:43">
      <c r="A3" s="274"/>
      <c r="B3" s="274"/>
      <c r="C3" s="274"/>
      <c r="D3" s="275"/>
      <c r="E3" s="278"/>
      <c r="F3" s="277"/>
      <c r="G3" s="274"/>
      <c r="H3" s="274"/>
      <c r="I3" s="274"/>
      <c r="J3" s="274"/>
      <c r="K3" s="275"/>
      <c r="L3" s="288"/>
      <c r="M3" s="277"/>
      <c r="N3" s="274"/>
      <c r="O3" s="274"/>
      <c r="P3" s="274"/>
      <c r="Q3" s="274"/>
      <c r="R3" s="274"/>
      <c r="S3" s="291"/>
      <c r="T3" s="292"/>
      <c r="U3" s="274"/>
      <c r="V3" s="274"/>
      <c r="W3" s="274"/>
      <c r="X3" s="275"/>
      <c r="Y3" s="288"/>
      <c r="Z3" s="277"/>
      <c r="AA3" s="274"/>
      <c r="AB3" s="301"/>
      <c r="AC3" s="302" t="s">
        <v>25</v>
      </c>
      <c r="AD3" s="274" t="s">
        <v>26</v>
      </c>
      <c r="AE3" s="274"/>
      <c r="AF3" s="275"/>
      <c r="AG3" s="310"/>
      <c r="AH3" s="303"/>
      <c r="AI3" s="303"/>
      <c r="AJ3" s="291" t="s">
        <v>25</v>
      </c>
      <c r="AK3" s="291"/>
      <c r="AL3" s="275" t="s">
        <v>26</v>
      </c>
      <c r="AM3" s="309"/>
      <c r="AN3" s="309"/>
      <c r="AO3" s="309"/>
      <c r="AP3" s="309"/>
      <c r="AQ3" s="313"/>
    </row>
    <row r="4" ht="25.5" customHeight="1" spans="1:43">
      <c r="A4" s="274"/>
      <c r="B4" s="274"/>
      <c r="C4" s="274"/>
      <c r="D4" s="275"/>
      <c r="E4" s="278"/>
      <c r="F4" s="277"/>
      <c r="G4" s="274"/>
      <c r="H4" s="274"/>
      <c r="I4" s="274"/>
      <c r="J4" s="274"/>
      <c r="K4" s="275"/>
      <c r="L4" s="288"/>
      <c r="M4" s="277"/>
      <c r="N4" s="274"/>
      <c r="O4" s="274"/>
      <c r="P4" s="274"/>
      <c r="Q4" s="274"/>
      <c r="R4" s="274"/>
      <c r="S4" s="293" t="s">
        <v>27</v>
      </c>
      <c r="T4" s="294" t="s">
        <v>28</v>
      </c>
      <c r="U4" s="274"/>
      <c r="V4" s="274"/>
      <c r="W4" s="274"/>
      <c r="X4" s="275"/>
      <c r="Y4" s="288"/>
      <c r="Z4" s="277"/>
      <c r="AA4" s="274"/>
      <c r="AB4" s="301"/>
      <c r="AC4" s="303"/>
      <c r="AD4" s="302" t="s">
        <v>29</v>
      </c>
      <c r="AE4" s="302" t="s">
        <v>30</v>
      </c>
      <c r="AF4" s="304" t="s">
        <v>31</v>
      </c>
      <c r="AG4" s="310"/>
      <c r="AH4" s="303"/>
      <c r="AI4" s="303"/>
      <c r="AJ4" s="302" t="s">
        <v>32</v>
      </c>
      <c r="AK4" s="302" t="s">
        <v>33</v>
      </c>
      <c r="AL4" s="292" t="s">
        <v>29</v>
      </c>
      <c r="AM4" s="299"/>
      <c r="AN4" s="292" t="s">
        <v>30</v>
      </c>
      <c r="AO4" s="299"/>
      <c r="AP4" s="292" t="s">
        <v>31</v>
      </c>
      <c r="AQ4" s="314"/>
    </row>
    <row r="5" ht="15" customHeight="1" spans="1:43">
      <c r="A5" s="274"/>
      <c r="B5" s="274"/>
      <c r="C5" s="274"/>
      <c r="D5" s="275"/>
      <c r="E5" s="279"/>
      <c r="F5" s="277"/>
      <c r="G5" s="274"/>
      <c r="H5" s="274"/>
      <c r="I5" s="274"/>
      <c r="J5" s="274"/>
      <c r="K5" s="275"/>
      <c r="L5" s="288"/>
      <c r="M5" s="277"/>
      <c r="N5" s="274"/>
      <c r="O5" s="274"/>
      <c r="P5" s="274"/>
      <c r="Q5" s="274"/>
      <c r="R5" s="274"/>
      <c r="S5" s="295"/>
      <c r="T5" s="296"/>
      <c r="U5" s="274"/>
      <c r="V5" s="274"/>
      <c r="W5" s="274"/>
      <c r="X5" s="275"/>
      <c r="Y5" s="288"/>
      <c r="Z5" s="277"/>
      <c r="AA5" s="274"/>
      <c r="AB5" s="305"/>
      <c r="AC5" s="306"/>
      <c r="AD5" s="306"/>
      <c r="AE5" s="306"/>
      <c r="AF5" s="307"/>
      <c r="AG5" s="311"/>
      <c r="AH5" s="306"/>
      <c r="AI5" s="306"/>
      <c r="AJ5" s="306"/>
      <c r="AK5" s="306"/>
      <c r="AL5" s="291" t="s">
        <v>32</v>
      </c>
      <c r="AM5" s="291" t="s">
        <v>33</v>
      </c>
      <c r="AN5" s="291" t="s">
        <v>32</v>
      </c>
      <c r="AO5" s="291" t="s">
        <v>33</v>
      </c>
      <c r="AP5" s="291" t="s">
        <v>32</v>
      </c>
      <c r="AQ5" s="315" t="s">
        <v>33</v>
      </c>
    </row>
    <row r="6" spans="1:43">
      <c r="A6" s="280" t="str">
        <f>'18年合同登记表'!F6</f>
        <v>乔治费歇尔</v>
      </c>
      <c r="B6" s="15" t="str">
        <f>'18年合同登记表'!I6</f>
        <v>乔治费歇尔螺杆机年度技术服务</v>
      </c>
      <c r="C6" s="281" t="str">
        <f>'18年合同登记表'!L6</f>
        <v>兰健</v>
      </c>
      <c r="D6" s="281">
        <f>'18年合同登记表'!M6</f>
        <v>33000</v>
      </c>
      <c r="E6" s="282">
        <v>330</v>
      </c>
      <c r="F6" s="3">
        <v>5495</v>
      </c>
      <c r="G6" s="3">
        <v>2620.2</v>
      </c>
      <c r="H6" s="3">
        <v>6495</v>
      </c>
      <c r="I6" s="3">
        <v>1650</v>
      </c>
      <c r="J6" s="3">
        <v>330</v>
      </c>
      <c r="K6" s="15">
        <f t="shared" ref="K6:K12" si="0">D6-E6-F6-G6-H6-I6-J6</f>
        <v>16079.8</v>
      </c>
      <c r="L6" s="289">
        <f t="shared" ref="L6:L12" si="1">K6/D6</f>
        <v>0.487266666666667</v>
      </c>
      <c r="M6" s="282">
        <v>330</v>
      </c>
      <c r="N6" s="3">
        <v>5495</v>
      </c>
      <c r="O6" s="3">
        <v>2620.2</v>
      </c>
      <c r="P6" s="3">
        <v>5000</v>
      </c>
      <c r="Q6" s="3">
        <v>1650</v>
      </c>
      <c r="R6" s="3">
        <v>330</v>
      </c>
      <c r="S6" s="3"/>
      <c r="T6" s="3"/>
      <c r="U6" s="3">
        <v>0</v>
      </c>
      <c r="V6" s="3">
        <f>'18年合同登记表'!Q6</f>
        <v>33000</v>
      </c>
      <c r="W6" s="297">
        <f>'18年合同登记表'!R6</f>
        <v>1</v>
      </c>
      <c r="X6" s="15">
        <f t="shared" ref="X6:X12" si="2">D6-M6-N6-O6-P6-Q6-R6-U6</f>
        <v>17574.8</v>
      </c>
      <c r="Y6" s="289">
        <f t="shared" ref="Y6:Y12" si="3">X6/D6</f>
        <v>0.532569696969697</v>
      </c>
      <c r="Z6" s="280">
        <f t="shared" ref="Z6:Z12" si="4">K6*0.85</f>
        <v>13667.83</v>
      </c>
      <c r="AA6" s="15">
        <f t="shared" ref="AA6:AA12" si="5">K6*0.15</f>
        <v>2411.97</v>
      </c>
      <c r="AB6" s="15">
        <f t="shared" ref="AB6:AB12" si="6">AA6*0.2</f>
        <v>482.394</v>
      </c>
      <c r="AC6" s="15">
        <f t="shared" ref="AC6:AC12" si="7">AA6*0.8*0.85</f>
        <v>1640.1396</v>
      </c>
      <c r="AD6" s="15">
        <f t="shared" ref="AD6:AD12" si="8">AA6*0.8*0.08</f>
        <v>154.36608</v>
      </c>
      <c r="AE6" s="15">
        <f t="shared" ref="AE6:AE12" si="9">AA6*0.8*0.05</f>
        <v>96.4788</v>
      </c>
      <c r="AF6" s="281">
        <f t="shared" ref="AF6:AF12" si="10">AA6*0.8*0.02</f>
        <v>38.59152</v>
      </c>
      <c r="AG6" s="280">
        <f t="shared" ref="AG6:AG12" si="11">X6*0.85</f>
        <v>14938.58</v>
      </c>
      <c r="AH6" s="15">
        <f t="shared" ref="AH6:AH12" si="12">X6*0.15</f>
        <v>2636.22</v>
      </c>
      <c r="AI6" s="15">
        <f t="shared" ref="AI6:AI12" si="13">AH6*0.2*W6</f>
        <v>527.244</v>
      </c>
      <c r="AJ6" s="15">
        <f t="shared" ref="AJ6:AJ12" si="14">AH6*0.8*0.85*W6</f>
        <v>1792.6296</v>
      </c>
      <c r="AK6" s="49"/>
      <c r="AL6" s="15">
        <f t="shared" ref="AL6:AL12" si="15">AH6*0.8*0.08*W6</f>
        <v>168.71808</v>
      </c>
      <c r="AM6" s="49"/>
      <c r="AN6" s="15">
        <f t="shared" ref="AN6:AN12" si="16">AH6*0.8*0.05*W6</f>
        <v>105.4488</v>
      </c>
      <c r="AO6" s="49"/>
      <c r="AP6" s="15">
        <f t="shared" ref="AP6:AP12" si="17">AH6*0.8*0.02*W6</f>
        <v>42.17952</v>
      </c>
      <c r="AQ6" s="316"/>
    </row>
    <row r="7" spans="1:43">
      <c r="A7" s="280" t="str">
        <f>'18年合同登记表'!F7</f>
        <v>新城国际</v>
      </c>
      <c r="B7" s="15" t="str">
        <f>'18年合同登记表'!I7</f>
        <v>空调维修改造</v>
      </c>
      <c r="C7" s="281" t="str">
        <f>'18年合同登记表'!L7</f>
        <v>尹虎</v>
      </c>
      <c r="D7" s="281">
        <f>'18年合同登记表'!M7</f>
        <v>172746</v>
      </c>
      <c r="E7" s="282"/>
      <c r="F7" s="3"/>
      <c r="G7" s="3"/>
      <c r="H7" s="3"/>
      <c r="I7" s="3"/>
      <c r="J7" s="3"/>
      <c r="K7" s="15">
        <f t="shared" si="0"/>
        <v>172746</v>
      </c>
      <c r="L7" s="289">
        <f t="shared" si="1"/>
        <v>1</v>
      </c>
      <c r="M7" s="282"/>
      <c r="N7" s="3"/>
      <c r="O7" s="3"/>
      <c r="P7" s="3"/>
      <c r="Q7" s="3"/>
      <c r="R7" s="3"/>
      <c r="S7" s="3"/>
      <c r="T7" s="3"/>
      <c r="U7" s="3"/>
      <c r="V7" s="3">
        <f>'18年合同登记表'!Q7</f>
        <v>172746</v>
      </c>
      <c r="W7" s="297">
        <f>'18年合同登记表'!R7</f>
        <v>1</v>
      </c>
      <c r="X7" s="15">
        <f t="shared" si="2"/>
        <v>172746</v>
      </c>
      <c r="Y7" s="289">
        <f t="shared" si="3"/>
        <v>1</v>
      </c>
      <c r="Z7" s="280">
        <f t="shared" si="4"/>
        <v>146834.1</v>
      </c>
      <c r="AA7" s="15">
        <f t="shared" si="5"/>
        <v>25911.9</v>
      </c>
      <c r="AB7" s="15">
        <f t="shared" si="6"/>
        <v>5182.38</v>
      </c>
      <c r="AC7" s="15">
        <f t="shared" si="7"/>
        <v>17620.092</v>
      </c>
      <c r="AD7" s="15">
        <f t="shared" si="8"/>
        <v>1658.3616</v>
      </c>
      <c r="AE7" s="15">
        <f t="shared" si="9"/>
        <v>1036.476</v>
      </c>
      <c r="AF7" s="281">
        <f t="shared" si="10"/>
        <v>414.5904</v>
      </c>
      <c r="AG7" s="280">
        <f t="shared" si="11"/>
        <v>146834.1</v>
      </c>
      <c r="AH7" s="15">
        <f t="shared" si="12"/>
        <v>25911.9</v>
      </c>
      <c r="AI7" s="15">
        <f t="shared" si="13"/>
        <v>5182.38</v>
      </c>
      <c r="AJ7" s="15">
        <f t="shared" si="14"/>
        <v>17620.092</v>
      </c>
      <c r="AK7" s="49"/>
      <c r="AL7" s="15">
        <f t="shared" si="15"/>
        <v>1658.3616</v>
      </c>
      <c r="AM7" s="49"/>
      <c r="AN7" s="15">
        <f t="shared" si="16"/>
        <v>1036.476</v>
      </c>
      <c r="AO7" s="49"/>
      <c r="AP7" s="15">
        <f t="shared" si="17"/>
        <v>414.5904</v>
      </c>
      <c r="AQ7" s="316"/>
    </row>
    <row r="8" spans="1:43">
      <c r="A8" s="280" t="str">
        <f>'18年合同登记表'!F8</f>
        <v>新城国际</v>
      </c>
      <c r="B8" s="15" t="str">
        <f>'18年合同登记表'!I8</f>
        <v>基础设施工程改造</v>
      </c>
      <c r="C8" s="281" t="str">
        <f>'18年合同登记表'!L8</f>
        <v>尹虎</v>
      </c>
      <c r="D8" s="281">
        <f>'18年合同登记表'!M8</f>
        <v>567507</v>
      </c>
      <c r="E8" s="282"/>
      <c r="F8" s="3"/>
      <c r="G8" s="3"/>
      <c r="H8" s="3"/>
      <c r="I8" s="3"/>
      <c r="J8" s="3"/>
      <c r="K8" s="15">
        <f t="shared" si="0"/>
        <v>567507</v>
      </c>
      <c r="L8" s="289">
        <f t="shared" si="1"/>
        <v>1</v>
      </c>
      <c r="M8" s="282"/>
      <c r="N8" s="3"/>
      <c r="O8" s="3"/>
      <c r="P8" s="3"/>
      <c r="Q8" s="3"/>
      <c r="R8" s="3"/>
      <c r="S8" s="3"/>
      <c r="T8" s="3"/>
      <c r="U8" s="3"/>
      <c r="V8" s="3">
        <f>'18年合同登记表'!Q8</f>
        <v>567507</v>
      </c>
      <c r="W8" s="297">
        <f>'18年合同登记表'!R8</f>
        <v>1</v>
      </c>
      <c r="X8" s="15">
        <f t="shared" si="2"/>
        <v>567507</v>
      </c>
      <c r="Y8" s="289">
        <f t="shared" si="3"/>
        <v>1</v>
      </c>
      <c r="Z8" s="280">
        <f t="shared" si="4"/>
        <v>482380.95</v>
      </c>
      <c r="AA8" s="15">
        <f t="shared" si="5"/>
        <v>85126.05</v>
      </c>
      <c r="AB8" s="15">
        <f t="shared" si="6"/>
        <v>17025.21</v>
      </c>
      <c r="AC8" s="15">
        <f t="shared" si="7"/>
        <v>57885.714</v>
      </c>
      <c r="AD8" s="15">
        <f t="shared" si="8"/>
        <v>5448.0672</v>
      </c>
      <c r="AE8" s="15">
        <f t="shared" si="9"/>
        <v>3405.042</v>
      </c>
      <c r="AF8" s="281">
        <f t="shared" si="10"/>
        <v>1362.0168</v>
      </c>
      <c r="AG8" s="280">
        <f t="shared" si="11"/>
        <v>482380.95</v>
      </c>
      <c r="AH8" s="15">
        <f t="shared" si="12"/>
        <v>85126.05</v>
      </c>
      <c r="AI8" s="15">
        <f t="shared" si="13"/>
        <v>17025.21</v>
      </c>
      <c r="AJ8" s="15">
        <f t="shared" si="14"/>
        <v>57885.714</v>
      </c>
      <c r="AK8" s="49"/>
      <c r="AL8" s="15">
        <f t="shared" si="15"/>
        <v>5448.0672</v>
      </c>
      <c r="AM8" s="49"/>
      <c r="AN8" s="15">
        <f t="shared" si="16"/>
        <v>3405.042</v>
      </c>
      <c r="AO8" s="49"/>
      <c r="AP8" s="15">
        <f t="shared" si="17"/>
        <v>1362.0168</v>
      </c>
      <c r="AQ8" s="316"/>
    </row>
    <row r="9" spans="1:43">
      <c r="A9" s="280" t="str">
        <f>'18年合同登记表'!F9</f>
        <v>新城国际</v>
      </c>
      <c r="B9" s="15" t="str">
        <f>'18年合同登记表'!I9</f>
        <v>新城国际清洗、改造</v>
      </c>
      <c r="C9" s="281" t="str">
        <f>'18年合同登记表'!L9</f>
        <v>尹虎</v>
      </c>
      <c r="D9" s="281">
        <f>'18年合同登记表'!M9</f>
        <v>356700</v>
      </c>
      <c r="E9" s="282"/>
      <c r="F9" s="3"/>
      <c r="G9" s="3"/>
      <c r="H9" s="3"/>
      <c r="I9" s="3"/>
      <c r="J9" s="3"/>
      <c r="K9" s="15">
        <f t="shared" si="0"/>
        <v>356700</v>
      </c>
      <c r="L9" s="289">
        <f t="shared" si="1"/>
        <v>1</v>
      </c>
      <c r="M9" s="282"/>
      <c r="N9" s="3"/>
      <c r="O9" s="3"/>
      <c r="P9" s="3"/>
      <c r="Q9" s="3"/>
      <c r="R9" s="3"/>
      <c r="S9" s="3"/>
      <c r="T9" s="3"/>
      <c r="U9" s="3"/>
      <c r="V9" s="3">
        <f>'18年合同登记表'!Q9</f>
        <v>356700</v>
      </c>
      <c r="W9" s="297">
        <f>'18年合同登记表'!R9</f>
        <v>1</v>
      </c>
      <c r="X9" s="15">
        <f t="shared" si="2"/>
        <v>356700</v>
      </c>
      <c r="Y9" s="289">
        <f t="shared" si="3"/>
        <v>1</v>
      </c>
      <c r="Z9" s="280">
        <f t="shared" si="4"/>
        <v>303195</v>
      </c>
      <c r="AA9" s="15">
        <f t="shared" si="5"/>
        <v>53505</v>
      </c>
      <c r="AB9" s="15">
        <f t="shared" si="6"/>
        <v>10701</v>
      </c>
      <c r="AC9" s="15">
        <f t="shared" si="7"/>
        <v>36383.4</v>
      </c>
      <c r="AD9" s="15">
        <f t="shared" si="8"/>
        <v>3424.32</v>
      </c>
      <c r="AE9" s="15">
        <f t="shared" si="9"/>
        <v>2140.2</v>
      </c>
      <c r="AF9" s="281">
        <f t="shared" si="10"/>
        <v>856.08</v>
      </c>
      <c r="AG9" s="280">
        <f t="shared" si="11"/>
        <v>303195</v>
      </c>
      <c r="AH9" s="15">
        <f t="shared" si="12"/>
        <v>53505</v>
      </c>
      <c r="AI9" s="15">
        <f t="shared" si="13"/>
        <v>10701</v>
      </c>
      <c r="AJ9" s="15">
        <f t="shared" si="14"/>
        <v>36383.4</v>
      </c>
      <c r="AK9" s="49"/>
      <c r="AL9" s="15">
        <f t="shared" si="15"/>
        <v>3424.32</v>
      </c>
      <c r="AM9" s="49"/>
      <c r="AN9" s="15">
        <f t="shared" si="16"/>
        <v>2140.2</v>
      </c>
      <c r="AO9" s="49"/>
      <c r="AP9" s="15">
        <f t="shared" si="17"/>
        <v>856.08</v>
      </c>
      <c r="AQ9" s="316"/>
    </row>
    <row r="10" spans="1:43">
      <c r="A10" s="280" t="str">
        <f>'18年合同登记表'!F10</f>
        <v>新城国际</v>
      </c>
      <c r="B10" s="15" t="str">
        <f>'18年合同登记表'!I10</f>
        <v>生活水泵变频器更换</v>
      </c>
      <c r="C10" s="281" t="str">
        <f>'18年合同登记表'!L10</f>
        <v>尹虎</v>
      </c>
      <c r="D10" s="281">
        <f>'18年合同登记表'!M10</f>
        <v>137000</v>
      </c>
      <c r="E10" s="282"/>
      <c r="F10" s="3"/>
      <c r="G10" s="3"/>
      <c r="H10" s="3"/>
      <c r="I10" s="3"/>
      <c r="J10" s="3"/>
      <c r="K10" s="15">
        <f t="shared" si="0"/>
        <v>137000</v>
      </c>
      <c r="L10" s="289">
        <f t="shared" si="1"/>
        <v>1</v>
      </c>
      <c r="M10" s="282"/>
      <c r="N10" s="3"/>
      <c r="O10" s="3"/>
      <c r="P10" s="3"/>
      <c r="Q10" s="3"/>
      <c r="R10" s="3"/>
      <c r="S10" s="3"/>
      <c r="T10" s="3"/>
      <c r="U10" s="3"/>
      <c r="V10" s="3">
        <f>'18年合同登记表'!Q10</f>
        <v>137000</v>
      </c>
      <c r="W10" s="297">
        <f>'18年合同登记表'!R10</f>
        <v>1</v>
      </c>
      <c r="X10" s="15">
        <f t="shared" si="2"/>
        <v>137000</v>
      </c>
      <c r="Y10" s="289">
        <f t="shared" si="3"/>
        <v>1</v>
      </c>
      <c r="Z10" s="280">
        <f t="shared" si="4"/>
        <v>116450</v>
      </c>
      <c r="AA10" s="15">
        <f t="shared" si="5"/>
        <v>20550</v>
      </c>
      <c r="AB10" s="15">
        <f t="shared" si="6"/>
        <v>4110</v>
      </c>
      <c r="AC10" s="15">
        <f t="shared" si="7"/>
        <v>13974</v>
      </c>
      <c r="AD10" s="15">
        <f t="shared" si="8"/>
        <v>1315.2</v>
      </c>
      <c r="AE10" s="15">
        <f t="shared" si="9"/>
        <v>822</v>
      </c>
      <c r="AF10" s="281">
        <f t="shared" si="10"/>
        <v>328.8</v>
      </c>
      <c r="AG10" s="280">
        <f t="shared" si="11"/>
        <v>116450</v>
      </c>
      <c r="AH10" s="15">
        <f t="shared" si="12"/>
        <v>20550</v>
      </c>
      <c r="AI10" s="15">
        <f t="shared" si="13"/>
        <v>4110</v>
      </c>
      <c r="AJ10" s="15">
        <f t="shared" si="14"/>
        <v>13974</v>
      </c>
      <c r="AK10" s="49"/>
      <c r="AL10" s="15">
        <f t="shared" si="15"/>
        <v>1315.2</v>
      </c>
      <c r="AM10" s="49"/>
      <c r="AN10" s="15">
        <f t="shared" si="16"/>
        <v>822</v>
      </c>
      <c r="AO10" s="49"/>
      <c r="AP10" s="15">
        <f t="shared" si="17"/>
        <v>328.8</v>
      </c>
      <c r="AQ10" s="316"/>
    </row>
    <row r="11" spans="1:43">
      <c r="A11" s="280" t="str">
        <f>'18年合同登记表'!F11</f>
        <v>翠微牡丹园</v>
      </c>
      <c r="B11" s="15" t="str">
        <f>'18年合同登记表'!I11</f>
        <v>空调年度维保</v>
      </c>
      <c r="C11" s="281" t="str">
        <f>'18年合同登记表'!L11</f>
        <v>陈勇/</v>
      </c>
      <c r="D11" s="281">
        <f>'18年合同登记表'!M11</f>
        <v>30000</v>
      </c>
      <c r="E11" s="282">
        <v>300</v>
      </c>
      <c r="F11" s="3">
        <v>5450</v>
      </c>
      <c r="G11" s="3">
        <v>2400</v>
      </c>
      <c r="H11" s="3">
        <v>750</v>
      </c>
      <c r="I11" s="3">
        <v>1500</v>
      </c>
      <c r="J11" s="3">
        <v>300</v>
      </c>
      <c r="K11" s="15">
        <f t="shared" ref="K11:K22" si="18">D11-E11-F11-G11-H11-I11-J11</f>
        <v>19300</v>
      </c>
      <c r="L11" s="289">
        <f t="shared" ref="L11:L22" si="19">K11/D11</f>
        <v>0.643333333333333</v>
      </c>
      <c r="M11" s="282"/>
      <c r="N11" s="3"/>
      <c r="O11" s="3"/>
      <c r="P11" s="3"/>
      <c r="Q11" s="3"/>
      <c r="R11" s="3"/>
      <c r="S11" s="3"/>
      <c r="T11" s="3"/>
      <c r="U11" s="3"/>
      <c r="V11" s="3">
        <f>'18年合同登记表'!Q11</f>
        <v>30000</v>
      </c>
      <c r="W11" s="297">
        <f>'18年合同登记表'!R11</f>
        <v>1</v>
      </c>
      <c r="X11" s="15">
        <f t="shared" ref="X11:X22" si="20">D11-M11-N11-O11-P11-Q11-R11-U11</f>
        <v>30000</v>
      </c>
      <c r="Y11" s="289">
        <f t="shared" ref="Y11:Y22" si="21">X11/D11</f>
        <v>1</v>
      </c>
      <c r="Z11" s="280">
        <f t="shared" ref="Z11:Z22" si="22">K11*0.85</f>
        <v>16405</v>
      </c>
      <c r="AA11" s="15">
        <f t="shared" ref="AA11:AA22" si="23">K11*0.15</f>
        <v>2895</v>
      </c>
      <c r="AB11" s="15">
        <f t="shared" ref="AB11:AB22" si="24">AA11*0.2</f>
        <v>579</v>
      </c>
      <c r="AC11" s="15">
        <f t="shared" ref="AC11:AC22" si="25">AA11*0.8*0.85</f>
        <v>1968.6</v>
      </c>
      <c r="AD11" s="15">
        <f t="shared" ref="AD11:AD22" si="26">AA11*0.8*0.08</f>
        <v>185.28</v>
      </c>
      <c r="AE11" s="15">
        <f t="shared" ref="AE11:AE22" si="27">AA11*0.8*0.05</f>
        <v>115.8</v>
      </c>
      <c r="AF11" s="281">
        <f t="shared" ref="AF11:AF22" si="28">AA11*0.8*0.02</f>
        <v>46.32</v>
      </c>
      <c r="AG11" s="280">
        <f t="shared" ref="AG11:AG22" si="29">X11*0.85</f>
        <v>25500</v>
      </c>
      <c r="AH11" s="15">
        <f t="shared" ref="AH11:AH22" si="30">X11*0.15</f>
        <v>4500</v>
      </c>
      <c r="AI11" s="15">
        <f t="shared" ref="AI11:AI22" si="31">AH11*0.2*W11</f>
        <v>900</v>
      </c>
      <c r="AJ11" s="15">
        <f t="shared" ref="AJ11:AJ22" si="32">AH11*0.8*0.85*W11</f>
        <v>3060</v>
      </c>
      <c r="AK11" s="49"/>
      <c r="AL11" s="15">
        <f t="shared" ref="AL11:AL22" si="33">AH11*0.8*0.08*W11</f>
        <v>288</v>
      </c>
      <c r="AM11" s="49"/>
      <c r="AN11" s="15">
        <f t="shared" ref="AN11:AN22" si="34">AH11*0.8*0.05*W11</f>
        <v>180</v>
      </c>
      <c r="AO11" s="49"/>
      <c r="AP11" s="15">
        <f t="shared" ref="AP11:AP22" si="35">AH11*0.8*0.02*W11</f>
        <v>72</v>
      </c>
      <c r="AQ11" s="316"/>
    </row>
    <row r="12" spans="1:43">
      <c r="A12" s="280" t="str">
        <f>'18年合同登记表'!F12</f>
        <v>中石油</v>
      </c>
      <c r="B12" s="15" t="str">
        <f>'18年合同登记表'!I12</f>
        <v>直燃机年度维保</v>
      </c>
      <c r="C12" s="281" t="str">
        <f>'18年合同登记表'!L12</f>
        <v>陈勇/</v>
      </c>
      <c r="D12" s="281">
        <f>'18年合同登记表'!M12</f>
        <v>70560</v>
      </c>
      <c r="E12" s="282"/>
      <c r="F12" s="3"/>
      <c r="G12" s="3"/>
      <c r="H12" s="3"/>
      <c r="I12" s="3"/>
      <c r="J12" s="3"/>
      <c r="K12" s="15">
        <f t="shared" si="18"/>
        <v>70560</v>
      </c>
      <c r="L12" s="289">
        <f t="shared" si="19"/>
        <v>1</v>
      </c>
      <c r="M12" s="282"/>
      <c r="N12" s="3"/>
      <c r="O12" s="3"/>
      <c r="P12" s="3"/>
      <c r="Q12" s="3"/>
      <c r="R12" s="3"/>
      <c r="S12" s="3"/>
      <c r="T12" s="3"/>
      <c r="U12" s="3"/>
      <c r="V12" s="3">
        <f>'18年合同登记表'!Q12</f>
        <v>70560</v>
      </c>
      <c r="W12" s="297">
        <f>'18年合同登记表'!R12</f>
        <v>1</v>
      </c>
      <c r="X12" s="15">
        <f t="shared" si="20"/>
        <v>70560</v>
      </c>
      <c r="Y12" s="289">
        <f t="shared" si="21"/>
        <v>1</v>
      </c>
      <c r="Z12" s="280">
        <f t="shared" si="22"/>
        <v>59976</v>
      </c>
      <c r="AA12" s="15">
        <f t="shared" si="23"/>
        <v>10584</v>
      </c>
      <c r="AB12" s="15">
        <f t="shared" si="24"/>
        <v>2116.8</v>
      </c>
      <c r="AC12" s="15">
        <f t="shared" si="25"/>
        <v>7197.12</v>
      </c>
      <c r="AD12" s="15">
        <f t="shared" si="26"/>
        <v>677.376</v>
      </c>
      <c r="AE12" s="15">
        <f t="shared" si="27"/>
        <v>423.36</v>
      </c>
      <c r="AF12" s="281">
        <f t="shared" si="28"/>
        <v>169.344</v>
      </c>
      <c r="AG12" s="280">
        <f t="shared" si="29"/>
        <v>59976</v>
      </c>
      <c r="AH12" s="15">
        <f t="shared" si="30"/>
        <v>10584</v>
      </c>
      <c r="AI12" s="15">
        <f t="shared" si="31"/>
        <v>2116.8</v>
      </c>
      <c r="AJ12" s="15">
        <f t="shared" si="32"/>
        <v>7197.12</v>
      </c>
      <c r="AK12" s="49"/>
      <c r="AL12" s="15">
        <f t="shared" si="33"/>
        <v>677.376</v>
      </c>
      <c r="AM12" s="49"/>
      <c r="AN12" s="15">
        <f t="shared" si="34"/>
        <v>423.36</v>
      </c>
      <c r="AO12" s="49"/>
      <c r="AP12" s="15">
        <f t="shared" si="35"/>
        <v>169.344</v>
      </c>
      <c r="AQ12" s="316"/>
    </row>
    <row r="13" spans="1:43">
      <c r="A13" s="280" t="str">
        <f>'18年合同登记表'!F13</f>
        <v>天一大厦</v>
      </c>
      <c r="B13" s="15" t="str">
        <f>'18年合同登记表'!I13</f>
        <v>直燃机年度维保</v>
      </c>
      <c r="C13" s="281" t="str">
        <f>'18年合同登记表'!L13</f>
        <v>陈勇/</v>
      </c>
      <c r="D13" s="281">
        <f>'18年合同登记表'!M13</f>
        <v>49000</v>
      </c>
      <c r="E13" s="282">
        <v>490</v>
      </c>
      <c r="F13" s="3">
        <v>9065</v>
      </c>
      <c r="G13" s="3">
        <v>3890.6</v>
      </c>
      <c r="H13" s="3">
        <v>3225</v>
      </c>
      <c r="I13" s="3">
        <v>2450</v>
      </c>
      <c r="J13" s="3">
        <v>490</v>
      </c>
      <c r="K13" s="15">
        <f t="shared" si="18"/>
        <v>29389.4</v>
      </c>
      <c r="L13" s="289">
        <f t="shared" si="19"/>
        <v>0.599783673469388</v>
      </c>
      <c r="M13" s="282"/>
      <c r="N13" s="3"/>
      <c r="O13" s="3"/>
      <c r="P13" s="3"/>
      <c r="Q13" s="3"/>
      <c r="R13" s="3"/>
      <c r="S13" s="3"/>
      <c r="T13" s="3"/>
      <c r="U13" s="3"/>
      <c r="V13" s="3">
        <f>'18年合同登记表'!Q13</f>
        <v>49000</v>
      </c>
      <c r="W13" s="297">
        <f>'18年合同登记表'!R13</f>
        <v>1</v>
      </c>
      <c r="X13" s="15">
        <f t="shared" si="20"/>
        <v>49000</v>
      </c>
      <c r="Y13" s="289">
        <f t="shared" si="21"/>
        <v>1</v>
      </c>
      <c r="Z13" s="280">
        <f t="shared" si="22"/>
        <v>24980.99</v>
      </c>
      <c r="AA13" s="15">
        <f t="shared" si="23"/>
        <v>4408.41</v>
      </c>
      <c r="AB13" s="15">
        <f t="shared" si="24"/>
        <v>881.682</v>
      </c>
      <c r="AC13" s="15">
        <f t="shared" si="25"/>
        <v>2997.7188</v>
      </c>
      <c r="AD13" s="15">
        <f t="shared" si="26"/>
        <v>282.13824</v>
      </c>
      <c r="AE13" s="15">
        <f t="shared" si="27"/>
        <v>176.3364</v>
      </c>
      <c r="AF13" s="281">
        <f t="shared" si="28"/>
        <v>70.53456</v>
      </c>
      <c r="AG13" s="280">
        <f t="shared" si="29"/>
        <v>41650</v>
      </c>
      <c r="AH13" s="15">
        <f t="shared" si="30"/>
        <v>7350</v>
      </c>
      <c r="AI13" s="15">
        <f t="shared" si="31"/>
        <v>1470</v>
      </c>
      <c r="AJ13" s="15">
        <f t="shared" si="32"/>
        <v>4998</v>
      </c>
      <c r="AK13" s="49"/>
      <c r="AL13" s="15">
        <f t="shared" si="33"/>
        <v>470.4</v>
      </c>
      <c r="AM13" s="49"/>
      <c r="AN13" s="15">
        <f t="shared" si="34"/>
        <v>294</v>
      </c>
      <c r="AO13" s="49"/>
      <c r="AP13" s="15">
        <f t="shared" si="35"/>
        <v>117.6</v>
      </c>
      <c r="AQ13" s="316"/>
    </row>
    <row r="14" spans="1:43">
      <c r="A14" s="280" t="str">
        <f>'18年合同登记表'!F14</f>
        <v>中科华誉</v>
      </c>
      <c r="B14" s="15" t="str">
        <f>'18年合同登记表'!I14</f>
        <v>田村2号站更换压缩机</v>
      </c>
      <c r="C14" s="281" t="str">
        <f>'18年合同登记表'!L14</f>
        <v>李劲</v>
      </c>
      <c r="D14" s="281">
        <f>'18年合同登记表'!M14</f>
        <v>22000</v>
      </c>
      <c r="E14" s="282">
        <v>220</v>
      </c>
      <c r="F14" s="3">
        <v>10330</v>
      </c>
      <c r="G14" s="3">
        <v>1760</v>
      </c>
      <c r="H14" s="3">
        <v>0</v>
      </c>
      <c r="I14" s="3">
        <v>1100</v>
      </c>
      <c r="J14" s="3">
        <v>220</v>
      </c>
      <c r="K14" s="15">
        <f t="shared" si="18"/>
        <v>8370</v>
      </c>
      <c r="L14" s="289">
        <f t="shared" si="19"/>
        <v>0.380454545454545</v>
      </c>
      <c r="M14" s="282"/>
      <c r="N14" s="3"/>
      <c r="O14" s="3"/>
      <c r="P14" s="3"/>
      <c r="Q14" s="3"/>
      <c r="R14" s="3"/>
      <c r="S14" s="3"/>
      <c r="T14" s="3"/>
      <c r="U14" s="3"/>
      <c r="V14" s="3">
        <f>'18年合同登记表'!Q14</f>
        <v>22000</v>
      </c>
      <c r="W14" s="297">
        <f>'18年合同登记表'!R14</f>
        <v>1</v>
      </c>
      <c r="X14" s="15">
        <f t="shared" si="20"/>
        <v>22000</v>
      </c>
      <c r="Y14" s="289">
        <f t="shared" si="21"/>
        <v>1</v>
      </c>
      <c r="Z14" s="280">
        <f t="shared" si="22"/>
        <v>7114.5</v>
      </c>
      <c r="AA14" s="15">
        <f t="shared" si="23"/>
        <v>1255.5</v>
      </c>
      <c r="AB14" s="15">
        <f t="shared" si="24"/>
        <v>251.1</v>
      </c>
      <c r="AC14" s="15">
        <f t="shared" si="25"/>
        <v>853.74</v>
      </c>
      <c r="AD14" s="15">
        <f t="shared" si="26"/>
        <v>80.352</v>
      </c>
      <c r="AE14" s="15">
        <f t="shared" si="27"/>
        <v>50.22</v>
      </c>
      <c r="AF14" s="281">
        <f t="shared" si="28"/>
        <v>20.088</v>
      </c>
      <c r="AG14" s="280">
        <f t="shared" si="29"/>
        <v>18700</v>
      </c>
      <c r="AH14" s="15">
        <f t="shared" si="30"/>
        <v>3300</v>
      </c>
      <c r="AI14" s="15">
        <f t="shared" si="31"/>
        <v>660</v>
      </c>
      <c r="AJ14" s="15">
        <f t="shared" si="32"/>
        <v>2244</v>
      </c>
      <c r="AK14" s="49"/>
      <c r="AL14" s="15">
        <f t="shared" si="33"/>
        <v>211.2</v>
      </c>
      <c r="AM14" s="49"/>
      <c r="AN14" s="15">
        <f t="shared" si="34"/>
        <v>132</v>
      </c>
      <c r="AO14" s="49"/>
      <c r="AP14" s="15">
        <f t="shared" si="35"/>
        <v>52.8</v>
      </c>
      <c r="AQ14" s="316"/>
    </row>
    <row r="15" spans="1:43">
      <c r="A15" s="280" t="str">
        <f>'18年合同登记表'!F15</f>
        <v>成都妇女儿童中心</v>
      </c>
      <c r="B15" s="15" t="str">
        <f>'18年合同登记表'!I15</f>
        <v>直燃机冷水机组维护保养</v>
      </c>
      <c r="C15" s="281" t="str">
        <f>'18年合同登记表'!L15</f>
        <v>兰健/</v>
      </c>
      <c r="D15" s="281">
        <f>'18年合同登记表'!M15</f>
        <v>47000</v>
      </c>
      <c r="E15" s="282">
        <v>0</v>
      </c>
      <c r="F15" s="3">
        <v>30000</v>
      </c>
      <c r="G15" s="3">
        <v>4700</v>
      </c>
      <c r="H15" s="3">
        <v>8175</v>
      </c>
      <c r="I15" s="3">
        <v>940</v>
      </c>
      <c r="J15" s="3">
        <v>470</v>
      </c>
      <c r="K15" s="15">
        <f t="shared" si="18"/>
        <v>2715</v>
      </c>
      <c r="L15" s="289">
        <f t="shared" si="19"/>
        <v>0.0577659574468085</v>
      </c>
      <c r="M15" s="282"/>
      <c r="N15" s="3"/>
      <c r="O15" s="3"/>
      <c r="P15" s="3"/>
      <c r="Q15" s="3"/>
      <c r="R15" s="3"/>
      <c r="S15" s="3"/>
      <c r="T15" s="3"/>
      <c r="U15" s="3"/>
      <c r="V15" s="3">
        <f>'18年合同登记表'!Q15</f>
        <v>47000</v>
      </c>
      <c r="W15" s="297">
        <f>'18年合同登记表'!R15</f>
        <v>1</v>
      </c>
      <c r="X15" s="15">
        <f t="shared" si="20"/>
        <v>47000</v>
      </c>
      <c r="Y15" s="289">
        <f t="shared" si="21"/>
        <v>1</v>
      </c>
      <c r="Z15" s="280">
        <f t="shared" si="22"/>
        <v>2307.75</v>
      </c>
      <c r="AA15" s="15">
        <f t="shared" si="23"/>
        <v>407.25</v>
      </c>
      <c r="AB15" s="15">
        <f t="shared" si="24"/>
        <v>81.45</v>
      </c>
      <c r="AC15" s="15">
        <f t="shared" si="25"/>
        <v>276.93</v>
      </c>
      <c r="AD15" s="15">
        <f t="shared" si="26"/>
        <v>26.064</v>
      </c>
      <c r="AE15" s="15">
        <f t="shared" si="27"/>
        <v>16.29</v>
      </c>
      <c r="AF15" s="281">
        <f t="shared" si="28"/>
        <v>6.516</v>
      </c>
      <c r="AG15" s="280">
        <f t="shared" si="29"/>
        <v>39950</v>
      </c>
      <c r="AH15" s="15">
        <f t="shared" si="30"/>
        <v>7050</v>
      </c>
      <c r="AI15" s="15">
        <f t="shared" si="31"/>
        <v>1410</v>
      </c>
      <c r="AJ15" s="15">
        <f t="shared" si="32"/>
        <v>4794</v>
      </c>
      <c r="AK15" s="49"/>
      <c r="AL15" s="15">
        <f t="shared" si="33"/>
        <v>451.2</v>
      </c>
      <c r="AM15" s="49"/>
      <c r="AN15" s="15">
        <f t="shared" si="34"/>
        <v>282</v>
      </c>
      <c r="AO15" s="49"/>
      <c r="AP15" s="15">
        <f t="shared" si="35"/>
        <v>112.8</v>
      </c>
      <c r="AQ15" s="316"/>
    </row>
    <row r="16" spans="1:43">
      <c r="A16" s="280" t="str">
        <f>'18年合同登记表'!F16</f>
        <v>泰丰国际广场</v>
      </c>
      <c r="B16" s="15" t="str">
        <f>'18年合同登记表'!I16</f>
        <v>空调年度维保</v>
      </c>
      <c r="C16" s="281" t="str">
        <f>'18年合同登记表'!L16</f>
        <v>兰健/</v>
      </c>
      <c r="D16" s="281">
        <f>'18年合同登记表'!M16</f>
        <v>110000</v>
      </c>
      <c r="E16" s="282">
        <v>8400</v>
      </c>
      <c r="F16" s="3">
        <v>9575</v>
      </c>
      <c r="G16" s="3">
        <v>12053.25</v>
      </c>
      <c r="H16" s="3">
        <v>6550</v>
      </c>
      <c r="I16" s="3">
        <v>5500</v>
      </c>
      <c r="J16" s="3">
        <v>1100</v>
      </c>
      <c r="K16" s="15">
        <f t="shared" si="18"/>
        <v>66821.75</v>
      </c>
      <c r="L16" s="289">
        <f t="shared" si="19"/>
        <v>0.607470454545455</v>
      </c>
      <c r="M16" s="282"/>
      <c r="N16" s="3"/>
      <c r="O16" s="3"/>
      <c r="P16" s="3"/>
      <c r="Q16" s="3"/>
      <c r="R16" s="3"/>
      <c r="S16" s="3"/>
      <c r="T16" s="3"/>
      <c r="U16" s="3"/>
      <c r="V16" s="3">
        <f>'18年合同登记表'!Q16</f>
        <v>110000</v>
      </c>
      <c r="W16" s="297">
        <f>'18年合同登记表'!R16</f>
        <v>1</v>
      </c>
      <c r="X16" s="15">
        <f t="shared" si="20"/>
        <v>110000</v>
      </c>
      <c r="Y16" s="289">
        <f t="shared" si="21"/>
        <v>1</v>
      </c>
      <c r="Z16" s="280">
        <f t="shared" si="22"/>
        <v>56798.4875</v>
      </c>
      <c r="AA16" s="15">
        <f t="shared" si="23"/>
        <v>10023.2625</v>
      </c>
      <c r="AB16" s="15">
        <f t="shared" si="24"/>
        <v>2004.6525</v>
      </c>
      <c r="AC16" s="15">
        <f t="shared" si="25"/>
        <v>6815.8185</v>
      </c>
      <c r="AD16" s="15">
        <f t="shared" si="26"/>
        <v>641.4888</v>
      </c>
      <c r="AE16" s="15">
        <f t="shared" si="27"/>
        <v>400.9305</v>
      </c>
      <c r="AF16" s="281">
        <f t="shared" si="28"/>
        <v>160.3722</v>
      </c>
      <c r="AG16" s="280">
        <f t="shared" si="29"/>
        <v>93500</v>
      </c>
      <c r="AH16" s="15">
        <f t="shared" si="30"/>
        <v>16500</v>
      </c>
      <c r="AI16" s="15">
        <f t="shared" si="31"/>
        <v>3300</v>
      </c>
      <c r="AJ16" s="15">
        <f t="shared" si="32"/>
        <v>11220</v>
      </c>
      <c r="AK16" s="49"/>
      <c r="AL16" s="15">
        <f t="shared" si="33"/>
        <v>1056</v>
      </c>
      <c r="AM16" s="49"/>
      <c r="AN16" s="15">
        <f t="shared" si="34"/>
        <v>660</v>
      </c>
      <c r="AO16" s="49"/>
      <c r="AP16" s="15">
        <f t="shared" si="35"/>
        <v>264</v>
      </c>
      <c r="AQ16" s="316"/>
    </row>
    <row r="17" spans="1:43">
      <c r="A17" s="280" t="str">
        <f>'18年合同登记表'!F17</f>
        <v>玉泉营古文化广场</v>
      </c>
      <c r="B17" s="15" t="str">
        <f>'18年合同登记表'!I17</f>
        <v>直燃机年度维保、冷温水主管道清洗</v>
      </c>
      <c r="C17" s="281" t="str">
        <f>'18年合同登记表'!L17</f>
        <v>尹虎/陈勇</v>
      </c>
      <c r="D17" s="281">
        <f>'18年合同登记表'!M17</f>
        <v>36600</v>
      </c>
      <c r="E17" s="282">
        <v>350</v>
      </c>
      <c r="F17" s="3">
        <v>7000</v>
      </c>
      <c r="G17" s="3">
        <v>3500</v>
      </c>
      <c r="H17" s="3">
        <v>6615</v>
      </c>
      <c r="I17" s="3">
        <v>1750</v>
      </c>
      <c r="J17" s="3">
        <v>350</v>
      </c>
      <c r="K17" s="15">
        <f t="shared" ref="K17:K23" si="36">D17-E17-F17-G17-H17-I17-J17</f>
        <v>17035</v>
      </c>
      <c r="L17" s="289">
        <f t="shared" ref="L17:L23" si="37">K17/D17</f>
        <v>0.465437158469945</v>
      </c>
      <c r="M17" s="282"/>
      <c r="N17" s="3"/>
      <c r="O17" s="3"/>
      <c r="P17" s="3"/>
      <c r="Q17" s="3"/>
      <c r="R17" s="3"/>
      <c r="S17" s="3"/>
      <c r="T17" s="3"/>
      <c r="U17" s="3"/>
      <c r="V17" s="3">
        <f>'18年合同登记表'!Q17</f>
        <v>36600</v>
      </c>
      <c r="W17" s="297">
        <f>'18年合同登记表'!R17</f>
        <v>1</v>
      </c>
      <c r="X17" s="15">
        <f t="shared" ref="X17:X23" si="38">D17-M17-N17-O17-P17-Q17-R17-U17</f>
        <v>36600</v>
      </c>
      <c r="Y17" s="289">
        <f t="shared" ref="Y17:Y23" si="39">X17/D17</f>
        <v>1</v>
      </c>
      <c r="Z17" s="280">
        <f t="shared" ref="Z17:Z23" si="40">K17*0.85</f>
        <v>14479.75</v>
      </c>
      <c r="AA17" s="15">
        <f t="shared" ref="AA17:AA23" si="41">K17*0.15</f>
        <v>2555.25</v>
      </c>
      <c r="AB17" s="15">
        <f t="shared" ref="AB17:AB23" si="42">AA17*0.2</f>
        <v>511.05</v>
      </c>
      <c r="AC17" s="15">
        <f t="shared" ref="AC17:AC23" si="43">AA17*0.8*0.85</f>
        <v>1737.57</v>
      </c>
      <c r="AD17" s="15">
        <f t="shared" ref="AD17:AD23" si="44">AA17*0.8*0.08</f>
        <v>163.536</v>
      </c>
      <c r="AE17" s="15">
        <f t="shared" ref="AE17:AE23" si="45">AA17*0.8*0.05</f>
        <v>102.21</v>
      </c>
      <c r="AF17" s="281">
        <f t="shared" ref="AF17:AF23" si="46">AA17*0.8*0.02</f>
        <v>40.884</v>
      </c>
      <c r="AG17" s="280">
        <f t="shared" ref="AG17:AG23" si="47">X17*0.85</f>
        <v>31110</v>
      </c>
      <c r="AH17" s="15">
        <f t="shared" ref="AH17:AH23" si="48">X17*0.15</f>
        <v>5490</v>
      </c>
      <c r="AI17" s="15">
        <f t="shared" ref="AI17:AI23" si="49">AH17*0.2*W17</f>
        <v>1098</v>
      </c>
      <c r="AJ17" s="15">
        <f t="shared" ref="AJ17:AJ23" si="50">AH17*0.8*0.85*W17</f>
        <v>3733.2</v>
      </c>
      <c r="AK17" s="49"/>
      <c r="AL17" s="15">
        <f t="shared" ref="AL17:AL23" si="51">AH17*0.8*0.08*W17</f>
        <v>351.36</v>
      </c>
      <c r="AM17" s="49"/>
      <c r="AN17" s="15">
        <f t="shared" ref="AN17:AN23" si="52">AH17*0.8*0.05*W17</f>
        <v>219.6</v>
      </c>
      <c r="AO17" s="49"/>
      <c r="AP17" s="15">
        <f t="shared" ref="AP17:AP23" si="53">AH17*0.8*0.02*W17</f>
        <v>87.84</v>
      </c>
      <c r="AQ17" s="316"/>
    </row>
    <row r="18" spans="1:43">
      <c r="A18" s="280" t="str">
        <f>'18年合同登记表'!F18</f>
        <v>深圳南山热电</v>
      </c>
      <c r="B18" s="15" t="str">
        <f>'18年合同登记表'!I18</f>
        <v>年度检修</v>
      </c>
      <c r="C18" s="281" t="str">
        <f>'18年合同登记表'!L18</f>
        <v>陈勇/</v>
      </c>
      <c r="D18" s="281">
        <f>'18年合同登记表'!M18</f>
        <v>95800</v>
      </c>
      <c r="E18" s="282">
        <v>3308</v>
      </c>
      <c r="F18" s="3">
        <v>21437</v>
      </c>
      <c r="G18" s="3">
        <v>7465.52</v>
      </c>
      <c r="H18" s="3">
        <v>25395</v>
      </c>
      <c r="I18" s="3">
        <v>4790</v>
      </c>
      <c r="J18" s="3">
        <v>958</v>
      </c>
      <c r="K18" s="15">
        <f t="shared" si="36"/>
        <v>32446.48</v>
      </c>
      <c r="L18" s="289">
        <f t="shared" si="37"/>
        <v>0.338689770354906</v>
      </c>
      <c r="M18" s="282"/>
      <c r="N18" s="3"/>
      <c r="O18" s="3"/>
      <c r="P18" s="3"/>
      <c r="Q18" s="3"/>
      <c r="R18" s="3"/>
      <c r="S18" s="3"/>
      <c r="T18" s="3"/>
      <c r="U18" s="3"/>
      <c r="V18" s="3">
        <f>'18年合同登记表'!Q18</f>
        <v>95800</v>
      </c>
      <c r="W18" s="297">
        <f>'18年合同登记表'!R18</f>
        <v>1</v>
      </c>
      <c r="X18" s="15">
        <f t="shared" si="38"/>
        <v>95800</v>
      </c>
      <c r="Y18" s="289">
        <f t="shared" si="39"/>
        <v>1</v>
      </c>
      <c r="Z18" s="280">
        <f t="shared" si="40"/>
        <v>27579.508</v>
      </c>
      <c r="AA18" s="15">
        <f t="shared" si="41"/>
        <v>4866.972</v>
      </c>
      <c r="AB18" s="15">
        <f t="shared" si="42"/>
        <v>973.3944</v>
      </c>
      <c r="AC18" s="15">
        <f t="shared" si="43"/>
        <v>3309.54096</v>
      </c>
      <c r="AD18" s="15">
        <f t="shared" si="44"/>
        <v>311.486208</v>
      </c>
      <c r="AE18" s="15">
        <f t="shared" si="45"/>
        <v>194.67888</v>
      </c>
      <c r="AF18" s="281">
        <f t="shared" si="46"/>
        <v>77.871552</v>
      </c>
      <c r="AG18" s="280">
        <f t="shared" si="47"/>
        <v>81430</v>
      </c>
      <c r="AH18" s="15">
        <f t="shared" si="48"/>
        <v>14370</v>
      </c>
      <c r="AI18" s="15">
        <f t="shared" si="49"/>
        <v>2874</v>
      </c>
      <c r="AJ18" s="15">
        <f t="shared" si="50"/>
        <v>9771.6</v>
      </c>
      <c r="AK18" s="49"/>
      <c r="AL18" s="15">
        <f t="shared" si="51"/>
        <v>919.68</v>
      </c>
      <c r="AM18" s="49"/>
      <c r="AN18" s="15">
        <f t="shared" si="52"/>
        <v>574.8</v>
      </c>
      <c r="AO18" s="49"/>
      <c r="AP18" s="15">
        <f t="shared" si="53"/>
        <v>229.92</v>
      </c>
      <c r="AQ18" s="316"/>
    </row>
    <row r="19" spans="1:43">
      <c r="A19" s="280" t="str">
        <f>'18年合同登记表'!F19</f>
        <v>天津劝宝</v>
      </c>
      <c r="B19" s="15" t="str">
        <f>'18年合同登记表'!I19</f>
        <v>维修变频器</v>
      </c>
      <c r="C19" s="281" t="str">
        <f>'18年合同登记表'!L19</f>
        <v>兰健/</v>
      </c>
      <c r="D19" s="281">
        <f>'18年合同登记表'!M19</f>
        <v>3000</v>
      </c>
      <c r="E19" s="282">
        <v>830</v>
      </c>
      <c r="F19" s="3">
        <v>690</v>
      </c>
      <c r="G19" s="3">
        <v>258.6</v>
      </c>
      <c r="H19" s="3">
        <v>135</v>
      </c>
      <c r="I19" s="3">
        <v>150</v>
      </c>
      <c r="J19" s="3">
        <v>30</v>
      </c>
      <c r="K19" s="15">
        <f t="shared" si="36"/>
        <v>906.4</v>
      </c>
      <c r="L19" s="289">
        <f t="shared" si="37"/>
        <v>0.302133333333333</v>
      </c>
      <c r="M19" s="282"/>
      <c r="N19" s="3"/>
      <c r="O19" s="3"/>
      <c r="P19" s="3"/>
      <c r="Q19" s="3"/>
      <c r="R19" s="3"/>
      <c r="S19" s="3"/>
      <c r="T19" s="3"/>
      <c r="U19" s="3"/>
      <c r="V19" s="3">
        <f>'18年合同登记表'!Q19</f>
        <v>3000</v>
      </c>
      <c r="W19" s="297">
        <f>'18年合同登记表'!R19</f>
        <v>1</v>
      </c>
      <c r="X19" s="15">
        <f t="shared" si="38"/>
        <v>3000</v>
      </c>
      <c r="Y19" s="289">
        <f t="shared" si="39"/>
        <v>1</v>
      </c>
      <c r="Z19" s="280">
        <f t="shared" si="40"/>
        <v>770.44</v>
      </c>
      <c r="AA19" s="15">
        <f t="shared" si="41"/>
        <v>135.96</v>
      </c>
      <c r="AB19" s="15">
        <f t="shared" si="42"/>
        <v>27.192</v>
      </c>
      <c r="AC19" s="15">
        <f t="shared" si="43"/>
        <v>92.4528</v>
      </c>
      <c r="AD19" s="15">
        <f t="shared" si="44"/>
        <v>8.70144</v>
      </c>
      <c r="AE19" s="15">
        <f t="shared" si="45"/>
        <v>5.4384</v>
      </c>
      <c r="AF19" s="281">
        <f t="shared" si="46"/>
        <v>2.17536</v>
      </c>
      <c r="AG19" s="280">
        <f t="shared" si="47"/>
        <v>2550</v>
      </c>
      <c r="AH19" s="15">
        <f t="shared" si="48"/>
        <v>450</v>
      </c>
      <c r="AI19" s="15">
        <f t="shared" si="49"/>
        <v>90</v>
      </c>
      <c r="AJ19" s="15">
        <f t="shared" si="50"/>
        <v>306</v>
      </c>
      <c r="AK19" s="49"/>
      <c r="AL19" s="15">
        <f t="shared" si="51"/>
        <v>28.8</v>
      </c>
      <c r="AM19" s="49"/>
      <c r="AN19" s="15">
        <f t="shared" si="52"/>
        <v>18</v>
      </c>
      <c r="AO19" s="49"/>
      <c r="AP19" s="15">
        <f t="shared" si="53"/>
        <v>7.2</v>
      </c>
      <c r="AQ19" s="316"/>
    </row>
    <row r="20" spans="1:43">
      <c r="A20" s="280" t="str">
        <f>'18年合同登记表'!F20</f>
        <v>济南武洲</v>
      </c>
      <c r="B20" s="15" t="str">
        <f>'18年合同登记表'!I20</f>
        <v>空调维修</v>
      </c>
      <c r="C20" s="281" t="str">
        <f>'18年合同登记表'!L20</f>
        <v>陈勇/</v>
      </c>
      <c r="D20" s="281">
        <f>'18年合同登记表'!M20</f>
        <v>6000</v>
      </c>
      <c r="E20" s="282">
        <v>60</v>
      </c>
      <c r="F20" s="3">
        <v>2060</v>
      </c>
      <c r="G20" s="3">
        <v>120</v>
      </c>
      <c r="H20" s="283">
        <v>0</v>
      </c>
      <c r="I20" s="3">
        <v>300</v>
      </c>
      <c r="J20" s="3">
        <v>60</v>
      </c>
      <c r="K20" s="15">
        <f t="shared" si="36"/>
        <v>3400</v>
      </c>
      <c r="L20" s="289">
        <f t="shared" si="37"/>
        <v>0.566666666666667</v>
      </c>
      <c r="M20" s="282"/>
      <c r="N20" s="3"/>
      <c r="O20" s="3"/>
      <c r="P20" s="3"/>
      <c r="Q20" s="3"/>
      <c r="R20" s="3"/>
      <c r="S20" s="3"/>
      <c r="T20" s="3"/>
      <c r="U20" s="3"/>
      <c r="V20" s="3">
        <f>'18年合同登记表'!Q20</f>
        <v>3000</v>
      </c>
      <c r="W20" s="297">
        <f>'18年合同登记表'!R20</f>
        <v>0.5</v>
      </c>
      <c r="X20" s="15">
        <f t="shared" si="38"/>
        <v>6000</v>
      </c>
      <c r="Y20" s="289">
        <f t="shared" si="39"/>
        <v>1</v>
      </c>
      <c r="Z20" s="280">
        <f t="shared" si="40"/>
        <v>2890</v>
      </c>
      <c r="AA20" s="15">
        <f t="shared" si="41"/>
        <v>510</v>
      </c>
      <c r="AB20" s="15">
        <f t="shared" si="42"/>
        <v>102</v>
      </c>
      <c r="AC20" s="15">
        <f t="shared" si="43"/>
        <v>346.8</v>
      </c>
      <c r="AD20" s="15">
        <f t="shared" si="44"/>
        <v>32.64</v>
      </c>
      <c r="AE20" s="15">
        <f t="shared" si="45"/>
        <v>20.4</v>
      </c>
      <c r="AF20" s="281">
        <f t="shared" si="46"/>
        <v>8.16</v>
      </c>
      <c r="AG20" s="280">
        <f t="shared" si="47"/>
        <v>5100</v>
      </c>
      <c r="AH20" s="15">
        <f t="shared" si="48"/>
        <v>900</v>
      </c>
      <c r="AI20" s="15">
        <f t="shared" si="49"/>
        <v>90</v>
      </c>
      <c r="AJ20" s="15">
        <f t="shared" si="50"/>
        <v>306</v>
      </c>
      <c r="AK20" s="49"/>
      <c r="AL20" s="15">
        <f t="shared" si="51"/>
        <v>28.8</v>
      </c>
      <c r="AM20" s="49"/>
      <c r="AN20" s="15">
        <f t="shared" si="52"/>
        <v>18</v>
      </c>
      <c r="AO20" s="49"/>
      <c r="AP20" s="15">
        <f t="shared" si="53"/>
        <v>7.2</v>
      </c>
      <c r="AQ20" s="316"/>
    </row>
    <row r="21" spans="1:43">
      <c r="A21" s="280" t="str">
        <f>'18年合同登记表'!F21</f>
        <v>河北浩天</v>
      </c>
      <c r="B21" s="15" t="str">
        <f>'18年合同登记表'!I21</f>
        <v>冷水机组维保</v>
      </c>
      <c r="C21" s="281" t="str">
        <f>'18年合同登记表'!L21</f>
        <v>尹虎/陈勇</v>
      </c>
      <c r="D21" s="281">
        <f>'18年合同登记表'!M21</f>
        <v>13000</v>
      </c>
      <c r="E21" s="282">
        <v>130</v>
      </c>
      <c r="F21" s="3">
        <v>4195</v>
      </c>
      <c r="G21" s="3">
        <v>1040</v>
      </c>
      <c r="H21" s="3">
        <v>100</v>
      </c>
      <c r="I21" s="3">
        <v>650</v>
      </c>
      <c r="J21" s="3">
        <v>130</v>
      </c>
      <c r="K21" s="15">
        <f t="shared" si="36"/>
        <v>6755</v>
      </c>
      <c r="L21" s="289">
        <f t="shared" si="37"/>
        <v>0.519615384615385</v>
      </c>
      <c r="M21" s="282"/>
      <c r="N21" s="3"/>
      <c r="O21" s="3"/>
      <c r="P21" s="3"/>
      <c r="Q21" s="3"/>
      <c r="R21" s="3"/>
      <c r="S21" s="3"/>
      <c r="T21" s="3"/>
      <c r="U21" s="3"/>
      <c r="V21" s="3">
        <f>'18年合同登记表'!Q21</f>
        <v>6000</v>
      </c>
      <c r="W21" s="297">
        <f>'18年合同登记表'!R21</f>
        <v>0.461538461538462</v>
      </c>
      <c r="X21" s="15">
        <f t="shared" si="38"/>
        <v>13000</v>
      </c>
      <c r="Y21" s="289">
        <f t="shared" si="39"/>
        <v>1</v>
      </c>
      <c r="Z21" s="280">
        <f t="shared" si="40"/>
        <v>5741.75</v>
      </c>
      <c r="AA21" s="15">
        <f t="shared" si="41"/>
        <v>1013.25</v>
      </c>
      <c r="AB21" s="15">
        <f t="shared" si="42"/>
        <v>202.65</v>
      </c>
      <c r="AC21" s="15">
        <f t="shared" si="43"/>
        <v>689.01</v>
      </c>
      <c r="AD21" s="15">
        <f t="shared" si="44"/>
        <v>64.848</v>
      </c>
      <c r="AE21" s="15">
        <f t="shared" si="45"/>
        <v>40.53</v>
      </c>
      <c r="AF21" s="281">
        <f t="shared" si="46"/>
        <v>16.212</v>
      </c>
      <c r="AG21" s="280">
        <f t="shared" si="47"/>
        <v>11050</v>
      </c>
      <c r="AH21" s="15">
        <f t="shared" si="48"/>
        <v>1950</v>
      </c>
      <c r="AI21" s="15">
        <f t="shared" si="49"/>
        <v>180</v>
      </c>
      <c r="AJ21" s="15">
        <f t="shared" si="50"/>
        <v>612</v>
      </c>
      <c r="AK21" s="49"/>
      <c r="AL21" s="15">
        <f t="shared" si="51"/>
        <v>57.6</v>
      </c>
      <c r="AM21" s="49"/>
      <c r="AN21" s="15">
        <f t="shared" si="52"/>
        <v>36</v>
      </c>
      <c r="AO21" s="49"/>
      <c r="AP21" s="15">
        <f t="shared" si="53"/>
        <v>14.4</v>
      </c>
      <c r="AQ21" s="316"/>
    </row>
    <row r="22" spans="1:43">
      <c r="A22" s="280" t="str">
        <f>'18年合同登记表'!F22</f>
        <v>吉林国投</v>
      </c>
      <c r="B22" s="15" t="str">
        <f>'18年合同登记表'!I22</f>
        <v>更换压缩机</v>
      </c>
      <c r="C22" s="281" t="str">
        <f>'18年合同登记表'!L22</f>
        <v>李劲</v>
      </c>
      <c r="D22" s="281">
        <f>'18年合同登记表'!M22</f>
        <v>22000</v>
      </c>
      <c r="E22" s="282">
        <v>220</v>
      </c>
      <c r="F22" s="3">
        <v>10330</v>
      </c>
      <c r="G22" s="3">
        <v>1760</v>
      </c>
      <c r="H22" s="3">
        <v>550</v>
      </c>
      <c r="I22" s="3">
        <v>1100</v>
      </c>
      <c r="J22" s="3">
        <v>220</v>
      </c>
      <c r="K22" s="15">
        <f t="shared" si="36"/>
        <v>7820</v>
      </c>
      <c r="L22" s="289">
        <f t="shared" si="37"/>
        <v>0.355454545454545</v>
      </c>
      <c r="M22" s="282"/>
      <c r="N22" s="3"/>
      <c r="O22" s="3"/>
      <c r="P22" s="3"/>
      <c r="Q22" s="3"/>
      <c r="R22" s="3"/>
      <c r="S22" s="3"/>
      <c r="T22" s="3"/>
      <c r="U22" s="3"/>
      <c r="V22" s="3">
        <f>'18年合同登记表'!Q22</f>
        <v>22000</v>
      </c>
      <c r="W22" s="297">
        <f>'18年合同登记表'!R22</f>
        <v>1</v>
      </c>
      <c r="X22" s="15">
        <f t="shared" si="38"/>
        <v>22000</v>
      </c>
      <c r="Y22" s="289">
        <f t="shared" si="39"/>
        <v>1</v>
      </c>
      <c r="Z22" s="280">
        <f t="shared" si="40"/>
        <v>6647</v>
      </c>
      <c r="AA22" s="15">
        <f t="shared" si="41"/>
        <v>1173</v>
      </c>
      <c r="AB22" s="15">
        <f t="shared" si="42"/>
        <v>234.6</v>
      </c>
      <c r="AC22" s="15">
        <f t="shared" si="43"/>
        <v>797.64</v>
      </c>
      <c r="AD22" s="15">
        <f t="shared" si="44"/>
        <v>75.072</v>
      </c>
      <c r="AE22" s="15">
        <f t="shared" si="45"/>
        <v>46.92</v>
      </c>
      <c r="AF22" s="281">
        <f t="shared" si="46"/>
        <v>18.768</v>
      </c>
      <c r="AG22" s="280">
        <f t="shared" si="47"/>
        <v>18700</v>
      </c>
      <c r="AH22" s="15">
        <f t="shared" si="48"/>
        <v>3300</v>
      </c>
      <c r="AI22" s="15">
        <f t="shared" si="49"/>
        <v>660</v>
      </c>
      <c r="AJ22" s="15">
        <f t="shared" si="50"/>
        <v>2244</v>
      </c>
      <c r="AK22" s="49"/>
      <c r="AL22" s="15">
        <f t="shared" si="51"/>
        <v>211.2</v>
      </c>
      <c r="AM22" s="49"/>
      <c r="AN22" s="15">
        <f t="shared" si="52"/>
        <v>132</v>
      </c>
      <c r="AO22" s="49"/>
      <c r="AP22" s="15">
        <f t="shared" si="53"/>
        <v>52.8</v>
      </c>
      <c r="AQ22" s="316"/>
    </row>
    <row r="23" spans="1:43">
      <c r="A23" s="280" t="str">
        <f>'18年合同登记表'!F23</f>
        <v>中科华誉</v>
      </c>
      <c r="B23" s="15" t="str">
        <f>'18年合同登记表'!I23</f>
        <v>更换压缩机（清华大学15#机组）</v>
      </c>
      <c r="C23" s="281" t="str">
        <f>'18年合同登记表'!L23</f>
        <v>李劲</v>
      </c>
      <c r="D23" s="281">
        <f>'18年合同登记表'!M23</f>
        <v>28800</v>
      </c>
      <c r="E23" s="282">
        <v>288</v>
      </c>
      <c r="F23" s="3">
        <v>14432</v>
      </c>
      <c r="G23" s="3">
        <v>2304</v>
      </c>
      <c r="H23" s="3">
        <v>288</v>
      </c>
      <c r="I23" s="3">
        <v>1440</v>
      </c>
      <c r="J23" s="3">
        <v>288</v>
      </c>
      <c r="K23" s="15">
        <f t="shared" si="36"/>
        <v>9760</v>
      </c>
      <c r="L23" s="289">
        <f t="shared" si="37"/>
        <v>0.338888888888889</v>
      </c>
      <c r="M23" s="282"/>
      <c r="N23" s="3"/>
      <c r="O23" s="3"/>
      <c r="P23" s="3"/>
      <c r="Q23" s="3"/>
      <c r="R23" s="3"/>
      <c r="S23" s="3"/>
      <c r="T23" s="3"/>
      <c r="U23" s="3"/>
      <c r="V23" s="3">
        <f>'18年合同登记表'!Q23</f>
        <v>28800</v>
      </c>
      <c r="W23" s="297">
        <f>'18年合同登记表'!R23</f>
        <v>1</v>
      </c>
      <c r="X23" s="15">
        <f t="shared" si="38"/>
        <v>28800</v>
      </c>
      <c r="Y23" s="289">
        <f t="shared" si="39"/>
        <v>1</v>
      </c>
      <c r="Z23" s="280">
        <f t="shared" si="40"/>
        <v>8296</v>
      </c>
      <c r="AA23" s="15">
        <f t="shared" si="41"/>
        <v>1464</v>
      </c>
      <c r="AB23" s="15">
        <f t="shared" si="42"/>
        <v>292.8</v>
      </c>
      <c r="AC23" s="15">
        <f t="shared" si="43"/>
        <v>995.52</v>
      </c>
      <c r="AD23" s="15">
        <f t="shared" si="44"/>
        <v>93.696</v>
      </c>
      <c r="AE23" s="15">
        <f t="shared" si="45"/>
        <v>58.56</v>
      </c>
      <c r="AF23" s="281">
        <f t="shared" si="46"/>
        <v>23.424</v>
      </c>
      <c r="AG23" s="280">
        <f t="shared" si="47"/>
        <v>24480</v>
      </c>
      <c r="AH23" s="15">
        <f t="shared" si="48"/>
        <v>4320</v>
      </c>
      <c r="AI23" s="15">
        <f t="shared" si="49"/>
        <v>864</v>
      </c>
      <c r="AJ23" s="15">
        <f t="shared" si="50"/>
        <v>2937.6</v>
      </c>
      <c r="AK23" s="49"/>
      <c r="AL23" s="15">
        <f t="shared" si="51"/>
        <v>276.48</v>
      </c>
      <c r="AM23" s="49"/>
      <c r="AN23" s="15">
        <f t="shared" si="52"/>
        <v>172.8</v>
      </c>
      <c r="AO23" s="49"/>
      <c r="AP23" s="15">
        <f t="shared" si="53"/>
        <v>69.12</v>
      </c>
      <c r="AQ23" s="316"/>
    </row>
    <row r="24" spans="1:43">
      <c r="A24" s="280" t="str">
        <f>'18年合同登记表'!F24</f>
        <v>中科华誉</v>
      </c>
      <c r="B24" s="15" t="str">
        <f>'18年合同登记表'!I24</f>
        <v>捡漏补漏（21号站颐和园）</v>
      </c>
      <c r="C24" s="281" t="str">
        <f>'18年合同登记表'!L24</f>
        <v>李劲</v>
      </c>
      <c r="D24" s="281">
        <f>'18年合同登记表'!M24</f>
        <v>12000</v>
      </c>
      <c r="E24" s="282">
        <v>120</v>
      </c>
      <c r="F24" s="3">
        <v>8580</v>
      </c>
      <c r="G24" s="3">
        <v>960</v>
      </c>
      <c r="H24" s="3">
        <v>0</v>
      </c>
      <c r="I24" s="3">
        <v>600</v>
      </c>
      <c r="J24" s="3">
        <v>120</v>
      </c>
      <c r="K24" s="15">
        <f t="shared" ref="K24:K32" si="54">D24-E24-F24-G24-H24-I24-J24</f>
        <v>1620</v>
      </c>
      <c r="L24" s="289">
        <f t="shared" ref="L24:L32" si="55">K24/D24</f>
        <v>0.135</v>
      </c>
      <c r="M24" s="282"/>
      <c r="N24" s="3"/>
      <c r="O24" s="3"/>
      <c r="P24" s="3"/>
      <c r="Q24" s="3"/>
      <c r="R24" s="3"/>
      <c r="S24" s="3"/>
      <c r="T24" s="3"/>
      <c r="U24" s="3"/>
      <c r="V24" s="3"/>
      <c r="W24" s="297">
        <f>'18年合同登记表'!R24</f>
        <v>1</v>
      </c>
      <c r="X24" s="15">
        <f t="shared" ref="X24:X32" si="56">D24-M24-N24-O24-P24-Q24-R24-U24</f>
        <v>12000</v>
      </c>
      <c r="Y24" s="289">
        <f t="shared" ref="Y24:Y32" si="57">X24/D24</f>
        <v>1</v>
      </c>
      <c r="Z24" s="280">
        <f t="shared" ref="Z24:Z32" si="58">K24*0.85</f>
        <v>1377</v>
      </c>
      <c r="AA24" s="15">
        <f t="shared" ref="AA24:AA32" si="59">K24*0.15</f>
        <v>243</v>
      </c>
      <c r="AB24" s="15">
        <f t="shared" ref="AB24:AB32" si="60">AA24*0.2</f>
        <v>48.6</v>
      </c>
      <c r="AC24" s="15">
        <f t="shared" ref="AC24:AC32" si="61">AA24*0.8*0.85</f>
        <v>165.24</v>
      </c>
      <c r="AD24" s="15">
        <f t="shared" ref="AD24:AD32" si="62">AA24*0.8*0.08</f>
        <v>15.552</v>
      </c>
      <c r="AE24" s="15">
        <f t="shared" ref="AE24:AE33" si="63">AA24*0.8*0.05</f>
        <v>9.72</v>
      </c>
      <c r="AF24" s="281">
        <f t="shared" ref="AF24:AF32" si="64">AA24*0.8*0.02</f>
        <v>3.888</v>
      </c>
      <c r="AG24" s="280">
        <f t="shared" ref="AG24:AG32" si="65">X24*0.85</f>
        <v>10200</v>
      </c>
      <c r="AH24" s="15">
        <f t="shared" ref="AH24:AH32" si="66">X24*0.15</f>
        <v>1800</v>
      </c>
      <c r="AI24" s="15">
        <f t="shared" ref="AI24:AI32" si="67">AH24*0.2*W24</f>
        <v>360</v>
      </c>
      <c r="AJ24" s="15">
        <f t="shared" ref="AJ24:AJ32" si="68">AH24*0.8*0.85*W24</f>
        <v>1224</v>
      </c>
      <c r="AK24" s="49"/>
      <c r="AL24" s="15">
        <f t="shared" ref="AL24:AL32" si="69">AH24*0.8*0.08*W24</f>
        <v>115.2</v>
      </c>
      <c r="AM24" s="49"/>
      <c r="AN24" s="15">
        <f t="shared" ref="AN24:AN32" si="70">AH24*0.8*0.05*W24</f>
        <v>72</v>
      </c>
      <c r="AO24" s="49"/>
      <c r="AP24" s="15">
        <f t="shared" ref="AP24:AP32" si="71">AH24*0.8*0.02*W24</f>
        <v>28.8</v>
      </c>
      <c r="AQ24" s="316"/>
    </row>
    <row r="25" spans="1:43">
      <c r="A25" s="280" t="str">
        <f>'18年合同登记表'!F25</f>
        <v>中科华誉</v>
      </c>
      <c r="B25" s="15" t="str">
        <f>'18年合同登记表'!I25</f>
        <v>更换压缩机（香山28号站12#机组）</v>
      </c>
      <c r="C25" s="281" t="str">
        <f>'18年合同登记表'!L25</f>
        <v>李劲</v>
      </c>
      <c r="D25" s="281">
        <f>'18年合同登记表'!M25</f>
        <v>24800</v>
      </c>
      <c r="E25" s="282">
        <v>248</v>
      </c>
      <c r="F25" s="3">
        <v>12372</v>
      </c>
      <c r="G25" s="3">
        <v>1984</v>
      </c>
      <c r="H25" s="3">
        <v>248</v>
      </c>
      <c r="I25" s="3">
        <v>1240</v>
      </c>
      <c r="J25" s="3">
        <v>248</v>
      </c>
      <c r="K25" s="15">
        <f t="shared" si="54"/>
        <v>8460</v>
      </c>
      <c r="L25" s="289">
        <f t="shared" si="55"/>
        <v>0.341129032258065</v>
      </c>
      <c r="M25" s="282"/>
      <c r="N25" s="3"/>
      <c r="O25" s="3"/>
      <c r="P25" s="3"/>
      <c r="Q25" s="3"/>
      <c r="R25" s="3"/>
      <c r="S25" s="3"/>
      <c r="T25" s="3"/>
      <c r="U25" s="3"/>
      <c r="V25" s="3"/>
      <c r="W25" s="297">
        <f>'18年合同登记表'!R25</f>
        <v>1</v>
      </c>
      <c r="X25" s="15">
        <f t="shared" si="56"/>
        <v>24800</v>
      </c>
      <c r="Y25" s="289">
        <f t="shared" si="57"/>
        <v>1</v>
      </c>
      <c r="Z25" s="280">
        <f t="shared" si="58"/>
        <v>7191</v>
      </c>
      <c r="AA25" s="15">
        <f t="shared" si="59"/>
        <v>1269</v>
      </c>
      <c r="AB25" s="15">
        <f t="shared" si="60"/>
        <v>253.8</v>
      </c>
      <c r="AC25" s="15">
        <f t="shared" si="61"/>
        <v>862.92</v>
      </c>
      <c r="AD25" s="15">
        <f t="shared" si="62"/>
        <v>81.216</v>
      </c>
      <c r="AE25" s="15">
        <f t="shared" si="63"/>
        <v>50.76</v>
      </c>
      <c r="AF25" s="281">
        <f t="shared" si="64"/>
        <v>20.304</v>
      </c>
      <c r="AG25" s="280">
        <f t="shared" si="65"/>
        <v>21080</v>
      </c>
      <c r="AH25" s="15">
        <f t="shared" si="66"/>
        <v>3720</v>
      </c>
      <c r="AI25" s="15">
        <f t="shared" si="67"/>
        <v>744</v>
      </c>
      <c r="AJ25" s="15">
        <f t="shared" si="68"/>
        <v>2529.6</v>
      </c>
      <c r="AK25" s="49"/>
      <c r="AL25" s="15">
        <f t="shared" si="69"/>
        <v>238.08</v>
      </c>
      <c r="AM25" s="49"/>
      <c r="AN25" s="15">
        <f t="shared" si="70"/>
        <v>148.8</v>
      </c>
      <c r="AO25" s="49"/>
      <c r="AP25" s="15">
        <f t="shared" si="71"/>
        <v>59.52</v>
      </c>
      <c r="AQ25" s="316"/>
    </row>
    <row r="26" spans="1:43">
      <c r="A26" s="280" t="str">
        <f>'18年合同登记表'!F26</f>
        <v>中科华誉</v>
      </c>
      <c r="B26" s="15" t="str">
        <f>'18年合同登记表'!I26</f>
        <v>更换压缩机（香山14#机组）</v>
      </c>
      <c r="C26" s="281" t="str">
        <f>'18年合同登记表'!L26</f>
        <v>李劲</v>
      </c>
      <c r="D26" s="281">
        <f>'18年合同登记表'!M26</f>
        <v>22000</v>
      </c>
      <c r="E26" s="282">
        <v>220</v>
      </c>
      <c r="F26" s="3">
        <v>10330</v>
      </c>
      <c r="G26" s="3">
        <v>1760</v>
      </c>
      <c r="H26" s="3">
        <v>220</v>
      </c>
      <c r="I26" s="3">
        <v>1100</v>
      </c>
      <c r="J26" s="3">
        <v>220</v>
      </c>
      <c r="K26" s="15">
        <f t="shared" si="54"/>
        <v>8150</v>
      </c>
      <c r="L26" s="289">
        <f t="shared" si="55"/>
        <v>0.370454545454545</v>
      </c>
      <c r="M26" s="282"/>
      <c r="N26" s="3"/>
      <c r="O26" s="3"/>
      <c r="P26" s="3"/>
      <c r="Q26" s="3"/>
      <c r="R26" s="3"/>
      <c r="S26" s="3"/>
      <c r="T26" s="3"/>
      <c r="U26" s="3"/>
      <c r="V26" s="3"/>
      <c r="W26" s="297">
        <f>'18年合同登记表'!R26</f>
        <v>1</v>
      </c>
      <c r="X26" s="15">
        <f t="shared" si="56"/>
        <v>22000</v>
      </c>
      <c r="Y26" s="289">
        <f t="shared" si="57"/>
        <v>1</v>
      </c>
      <c r="Z26" s="280">
        <f t="shared" si="58"/>
        <v>6927.5</v>
      </c>
      <c r="AA26" s="15">
        <f t="shared" si="59"/>
        <v>1222.5</v>
      </c>
      <c r="AB26" s="15">
        <f t="shared" si="60"/>
        <v>244.5</v>
      </c>
      <c r="AC26" s="15">
        <f t="shared" si="61"/>
        <v>831.3</v>
      </c>
      <c r="AD26" s="15">
        <f t="shared" si="62"/>
        <v>78.24</v>
      </c>
      <c r="AE26" s="15">
        <f t="shared" si="63"/>
        <v>48.9</v>
      </c>
      <c r="AF26" s="281">
        <f t="shared" si="64"/>
        <v>19.56</v>
      </c>
      <c r="AG26" s="280">
        <f t="shared" si="65"/>
        <v>18700</v>
      </c>
      <c r="AH26" s="15">
        <f t="shared" si="66"/>
        <v>3300</v>
      </c>
      <c r="AI26" s="15">
        <f t="shared" si="67"/>
        <v>660</v>
      </c>
      <c r="AJ26" s="15">
        <f t="shared" si="68"/>
        <v>2244</v>
      </c>
      <c r="AK26" s="49"/>
      <c r="AL26" s="15">
        <f t="shared" si="69"/>
        <v>211.2</v>
      </c>
      <c r="AM26" s="49"/>
      <c r="AN26" s="15">
        <f t="shared" si="70"/>
        <v>132</v>
      </c>
      <c r="AO26" s="49"/>
      <c r="AP26" s="15">
        <f t="shared" si="71"/>
        <v>52.8</v>
      </c>
      <c r="AQ26" s="316"/>
    </row>
    <row r="27" spans="1:43">
      <c r="A27" s="280" t="str">
        <f>'18年合同登记表'!F27</f>
        <v>中科华誉</v>
      </c>
      <c r="B27" s="15" t="str">
        <f>'18年合同登记表'!I27</f>
        <v>翅片维修（颐和园21号站4号机组）</v>
      </c>
      <c r="C27" s="281" t="str">
        <f>'18年合同登记表'!L27</f>
        <v>李劲</v>
      </c>
      <c r="D27" s="281">
        <f>'18年合同登记表'!M27</f>
        <v>20000</v>
      </c>
      <c r="E27" s="282">
        <v>200</v>
      </c>
      <c r="F27" s="3">
        <v>6500</v>
      </c>
      <c r="G27" s="3">
        <v>1600</v>
      </c>
      <c r="H27" s="3">
        <v>0</v>
      </c>
      <c r="I27" s="3">
        <v>1000</v>
      </c>
      <c r="J27" s="3">
        <v>200</v>
      </c>
      <c r="K27" s="15">
        <f t="shared" si="54"/>
        <v>10500</v>
      </c>
      <c r="L27" s="289">
        <f t="shared" si="55"/>
        <v>0.525</v>
      </c>
      <c r="M27" s="282"/>
      <c r="N27" s="3"/>
      <c r="O27" s="3"/>
      <c r="P27" s="3"/>
      <c r="Q27" s="3"/>
      <c r="R27" s="3"/>
      <c r="S27" s="3"/>
      <c r="T27" s="3"/>
      <c r="U27" s="3"/>
      <c r="V27" s="3"/>
      <c r="W27" s="297">
        <f>'18年合同登记表'!R27</f>
        <v>1</v>
      </c>
      <c r="X27" s="15">
        <f t="shared" si="56"/>
        <v>20000</v>
      </c>
      <c r="Y27" s="289">
        <f t="shared" si="57"/>
        <v>1</v>
      </c>
      <c r="Z27" s="280">
        <f t="shared" si="58"/>
        <v>8925</v>
      </c>
      <c r="AA27" s="15">
        <f t="shared" si="59"/>
        <v>1575</v>
      </c>
      <c r="AB27" s="15">
        <f t="shared" si="60"/>
        <v>315</v>
      </c>
      <c r="AC27" s="15">
        <f t="shared" si="61"/>
        <v>1071</v>
      </c>
      <c r="AD27" s="15">
        <f t="shared" si="62"/>
        <v>100.8</v>
      </c>
      <c r="AE27" s="15">
        <f t="shared" si="63"/>
        <v>63</v>
      </c>
      <c r="AF27" s="281">
        <f t="shared" si="64"/>
        <v>25.2</v>
      </c>
      <c r="AG27" s="280">
        <f t="shared" si="65"/>
        <v>17000</v>
      </c>
      <c r="AH27" s="15">
        <f t="shared" si="66"/>
        <v>3000</v>
      </c>
      <c r="AI27" s="15">
        <f t="shared" si="67"/>
        <v>600</v>
      </c>
      <c r="AJ27" s="15">
        <f t="shared" si="68"/>
        <v>2040</v>
      </c>
      <c r="AK27" s="49"/>
      <c r="AL27" s="15">
        <f t="shared" si="69"/>
        <v>192</v>
      </c>
      <c r="AM27" s="49"/>
      <c r="AN27" s="15">
        <f t="shared" si="70"/>
        <v>120</v>
      </c>
      <c r="AO27" s="49"/>
      <c r="AP27" s="15">
        <f t="shared" si="71"/>
        <v>48</v>
      </c>
      <c r="AQ27" s="316"/>
    </row>
    <row r="28" spans="1:43">
      <c r="A28" s="280" t="str">
        <f>'18年合同登记表'!F28</f>
        <v>中科华誉</v>
      </c>
      <c r="B28" s="15" t="str">
        <f>'18年合同登记表'!I28</f>
        <v>站点维修（24台机组汇总）</v>
      </c>
      <c r="C28" s="281" t="str">
        <f>'18年合同登记表'!L28</f>
        <v>李劲</v>
      </c>
      <c r="D28" s="281">
        <f>'18年合同登记表'!M28</f>
        <v>96000</v>
      </c>
      <c r="E28" s="284">
        <v>960</v>
      </c>
      <c r="F28" s="3">
        <v>65340</v>
      </c>
      <c r="G28" s="3">
        <v>7680</v>
      </c>
      <c r="H28" s="3">
        <v>0</v>
      </c>
      <c r="I28" s="3">
        <v>4800</v>
      </c>
      <c r="J28" s="3">
        <v>960</v>
      </c>
      <c r="K28" s="15">
        <f t="shared" si="54"/>
        <v>16260</v>
      </c>
      <c r="L28" s="289">
        <f t="shared" si="55"/>
        <v>0.169375</v>
      </c>
      <c r="M28" s="282"/>
      <c r="N28" s="3"/>
      <c r="O28" s="3"/>
      <c r="P28" s="3"/>
      <c r="Q28" s="3"/>
      <c r="R28" s="3"/>
      <c r="S28" s="3"/>
      <c r="T28" s="3"/>
      <c r="U28" s="3"/>
      <c r="V28" s="3"/>
      <c r="W28" s="297">
        <f>'18年合同登记表'!R28</f>
        <v>1</v>
      </c>
      <c r="X28" s="15">
        <f t="shared" si="56"/>
        <v>96000</v>
      </c>
      <c r="Y28" s="289">
        <f t="shared" si="57"/>
        <v>1</v>
      </c>
      <c r="Z28" s="280">
        <f t="shared" si="58"/>
        <v>13821</v>
      </c>
      <c r="AA28" s="15">
        <f t="shared" si="59"/>
        <v>2439</v>
      </c>
      <c r="AB28" s="15">
        <f t="shared" si="60"/>
        <v>487.8</v>
      </c>
      <c r="AC28" s="15">
        <f t="shared" si="61"/>
        <v>1658.52</v>
      </c>
      <c r="AD28" s="15">
        <f t="shared" si="62"/>
        <v>156.096</v>
      </c>
      <c r="AE28" s="15">
        <f t="shared" si="63"/>
        <v>97.56</v>
      </c>
      <c r="AF28" s="281">
        <f t="shared" si="64"/>
        <v>39.024</v>
      </c>
      <c r="AG28" s="280">
        <f t="shared" si="65"/>
        <v>81600</v>
      </c>
      <c r="AH28" s="15">
        <f t="shared" si="66"/>
        <v>14400</v>
      </c>
      <c r="AI28" s="15">
        <f t="shared" si="67"/>
        <v>2880</v>
      </c>
      <c r="AJ28" s="15">
        <f t="shared" si="68"/>
        <v>9792</v>
      </c>
      <c r="AK28" s="49"/>
      <c r="AL28" s="15">
        <f t="shared" si="69"/>
        <v>921.6</v>
      </c>
      <c r="AM28" s="49"/>
      <c r="AN28" s="15">
        <f t="shared" si="70"/>
        <v>576</v>
      </c>
      <c r="AO28" s="49"/>
      <c r="AP28" s="15">
        <f t="shared" si="71"/>
        <v>230.4</v>
      </c>
      <c r="AQ28" s="316"/>
    </row>
    <row r="29" spans="1:43">
      <c r="A29" s="280" t="e">
        <f>'18年合同登记表'!#REF!</f>
        <v>#REF!</v>
      </c>
      <c r="B29" s="15" t="e">
        <f>'18年合同登记表'!#REF!</f>
        <v>#REF!</v>
      </c>
      <c r="C29" s="281" t="e">
        <f>'18年合同登记表'!#REF!</f>
        <v>#REF!</v>
      </c>
      <c r="D29" s="281" t="e">
        <f>'18年合同登记表'!#REF!</f>
        <v>#REF!</v>
      </c>
      <c r="E29" s="282"/>
      <c r="F29" s="3"/>
      <c r="G29" s="3"/>
      <c r="H29" s="3"/>
      <c r="I29" s="3"/>
      <c r="J29" s="3"/>
      <c r="K29" s="15" t="e">
        <f t="shared" si="54"/>
        <v>#REF!</v>
      </c>
      <c r="L29" s="289" t="e">
        <f t="shared" si="55"/>
        <v>#REF!</v>
      </c>
      <c r="M29" s="282"/>
      <c r="N29" s="3"/>
      <c r="O29" s="3"/>
      <c r="P29" s="3"/>
      <c r="Q29" s="3"/>
      <c r="R29" s="3"/>
      <c r="S29" s="3"/>
      <c r="T29" s="3"/>
      <c r="U29" s="3"/>
      <c r="V29" s="3"/>
      <c r="W29" s="297" t="e">
        <f>'18年合同登记表'!#REF!</f>
        <v>#REF!</v>
      </c>
      <c r="X29" s="15" t="e">
        <f t="shared" si="56"/>
        <v>#REF!</v>
      </c>
      <c r="Y29" s="289" t="e">
        <f t="shared" si="57"/>
        <v>#REF!</v>
      </c>
      <c r="Z29" s="280" t="e">
        <f t="shared" si="58"/>
        <v>#REF!</v>
      </c>
      <c r="AA29" s="15" t="e">
        <f t="shared" si="59"/>
        <v>#REF!</v>
      </c>
      <c r="AB29" s="15" t="e">
        <f t="shared" si="60"/>
        <v>#REF!</v>
      </c>
      <c r="AC29" s="15" t="e">
        <f t="shared" si="61"/>
        <v>#REF!</v>
      </c>
      <c r="AD29" s="15" t="e">
        <f t="shared" si="62"/>
        <v>#REF!</v>
      </c>
      <c r="AE29" s="15" t="e">
        <f t="shared" si="63"/>
        <v>#REF!</v>
      </c>
      <c r="AF29" s="281" t="e">
        <f t="shared" si="64"/>
        <v>#REF!</v>
      </c>
      <c r="AG29" s="280" t="e">
        <f t="shared" si="65"/>
        <v>#REF!</v>
      </c>
      <c r="AH29" s="15" t="e">
        <f t="shared" si="66"/>
        <v>#REF!</v>
      </c>
      <c r="AI29" s="15" t="e">
        <f t="shared" si="67"/>
        <v>#REF!</v>
      </c>
      <c r="AJ29" s="15" t="e">
        <f t="shared" si="68"/>
        <v>#REF!</v>
      </c>
      <c r="AK29" s="49"/>
      <c r="AL29" s="15" t="e">
        <f t="shared" si="69"/>
        <v>#REF!</v>
      </c>
      <c r="AM29" s="49"/>
      <c r="AN29" s="15" t="e">
        <f t="shared" si="70"/>
        <v>#REF!</v>
      </c>
      <c r="AO29" s="49"/>
      <c r="AP29" s="15" t="e">
        <f t="shared" si="71"/>
        <v>#REF!</v>
      </c>
      <c r="AQ29" s="316"/>
    </row>
    <row r="30" spans="1:43">
      <c r="A30" s="280" t="e">
        <f>'18年合同登记表'!#REF!</f>
        <v>#REF!</v>
      </c>
      <c r="B30" s="15" t="e">
        <f>'18年合同登记表'!#REF!</f>
        <v>#REF!</v>
      </c>
      <c r="C30" s="281" t="e">
        <f>'18年合同登记表'!#REF!</f>
        <v>#REF!</v>
      </c>
      <c r="D30" s="281" t="e">
        <f>'18年合同登记表'!#REF!</f>
        <v>#REF!</v>
      </c>
      <c r="E30" s="282"/>
      <c r="F30" s="3"/>
      <c r="G30" s="3"/>
      <c r="H30" s="3"/>
      <c r="I30" s="3"/>
      <c r="J30" s="3"/>
      <c r="K30" s="15" t="e">
        <f t="shared" si="54"/>
        <v>#REF!</v>
      </c>
      <c r="L30" s="289" t="e">
        <f t="shared" si="55"/>
        <v>#REF!</v>
      </c>
      <c r="M30" s="282"/>
      <c r="N30" s="3"/>
      <c r="O30" s="3"/>
      <c r="P30" s="3"/>
      <c r="Q30" s="3"/>
      <c r="R30" s="3"/>
      <c r="S30" s="3"/>
      <c r="T30" s="3"/>
      <c r="U30" s="3"/>
      <c r="V30" s="3"/>
      <c r="W30" s="297" t="e">
        <f>'18年合同登记表'!#REF!</f>
        <v>#REF!</v>
      </c>
      <c r="X30" s="15" t="e">
        <f t="shared" si="56"/>
        <v>#REF!</v>
      </c>
      <c r="Y30" s="289" t="e">
        <f t="shared" si="57"/>
        <v>#REF!</v>
      </c>
      <c r="Z30" s="280" t="e">
        <f t="shared" si="58"/>
        <v>#REF!</v>
      </c>
      <c r="AA30" s="15" t="e">
        <f t="shared" si="59"/>
        <v>#REF!</v>
      </c>
      <c r="AB30" s="15" t="e">
        <f t="shared" si="60"/>
        <v>#REF!</v>
      </c>
      <c r="AC30" s="15" t="e">
        <f t="shared" si="61"/>
        <v>#REF!</v>
      </c>
      <c r="AD30" s="15" t="e">
        <f t="shared" si="62"/>
        <v>#REF!</v>
      </c>
      <c r="AE30" s="15" t="e">
        <f t="shared" si="63"/>
        <v>#REF!</v>
      </c>
      <c r="AF30" s="281" t="e">
        <f t="shared" si="64"/>
        <v>#REF!</v>
      </c>
      <c r="AG30" s="280" t="e">
        <f t="shared" si="65"/>
        <v>#REF!</v>
      </c>
      <c r="AH30" s="15" t="e">
        <f t="shared" si="66"/>
        <v>#REF!</v>
      </c>
      <c r="AI30" s="15" t="e">
        <f t="shared" si="67"/>
        <v>#REF!</v>
      </c>
      <c r="AJ30" s="15" t="e">
        <f t="shared" si="68"/>
        <v>#REF!</v>
      </c>
      <c r="AK30" s="49"/>
      <c r="AL30" s="15" t="e">
        <f t="shared" si="69"/>
        <v>#REF!</v>
      </c>
      <c r="AM30" s="49"/>
      <c r="AN30" s="15" t="e">
        <f t="shared" si="70"/>
        <v>#REF!</v>
      </c>
      <c r="AO30" s="49"/>
      <c r="AP30" s="15" t="e">
        <f t="shared" si="71"/>
        <v>#REF!</v>
      </c>
      <c r="AQ30" s="316"/>
    </row>
    <row r="31" spans="1:43">
      <c r="A31" s="280" t="e">
        <f>'18年合同登记表'!#REF!</f>
        <v>#REF!</v>
      </c>
      <c r="B31" s="15" t="e">
        <f>'18年合同登记表'!#REF!</f>
        <v>#REF!</v>
      </c>
      <c r="C31" s="281" t="e">
        <f>'18年合同登记表'!#REF!</f>
        <v>#REF!</v>
      </c>
      <c r="D31" s="281" t="e">
        <f>'18年合同登记表'!#REF!</f>
        <v>#REF!</v>
      </c>
      <c r="E31" s="282"/>
      <c r="F31" s="3"/>
      <c r="G31" s="3"/>
      <c r="H31" s="3"/>
      <c r="I31" s="3"/>
      <c r="J31" s="3"/>
      <c r="K31" s="15" t="e">
        <f t="shared" si="54"/>
        <v>#REF!</v>
      </c>
      <c r="L31" s="289" t="e">
        <f t="shared" si="55"/>
        <v>#REF!</v>
      </c>
      <c r="M31" s="282"/>
      <c r="N31" s="3"/>
      <c r="O31" s="3"/>
      <c r="P31" s="3"/>
      <c r="Q31" s="3"/>
      <c r="R31" s="3"/>
      <c r="S31" s="3"/>
      <c r="T31" s="3"/>
      <c r="U31" s="3"/>
      <c r="V31" s="3"/>
      <c r="W31" s="297" t="e">
        <f>'18年合同登记表'!#REF!</f>
        <v>#REF!</v>
      </c>
      <c r="X31" s="15" t="e">
        <f t="shared" si="56"/>
        <v>#REF!</v>
      </c>
      <c r="Y31" s="289" t="e">
        <f t="shared" si="57"/>
        <v>#REF!</v>
      </c>
      <c r="Z31" s="280" t="e">
        <f t="shared" si="58"/>
        <v>#REF!</v>
      </c>
      <c r="AA31" s="15" t="e">
        <f t="shared" si="59"/>
        <v>#REF!</v>
      </c>
      <c r="AB31" s="15" t="e">
        <f t="shared" si="60"/>
        <v>#REF!</v>
      </c>
      <c r="AC31" s="15" t="e">
        <f t="shared" si="61"/>
        <v>#REF!</v>
      </c>
      <c r="AD31" s="15" t="e">
        <f t="shared" si="62"/>
        <v>#REF!</v>
      </c>
      <c r="AE31" s="15" t="e">
        <f t="shared" si="63"/>
        <v>#REF!</v>
      </c>
      <c r="AF31" s="281" t="e">
        <f t="shared" si="64"/>
        <v>#REF!</v>
      </c>
      <c r="AG31" s="280" t="e">
        <f t="shared" si="65"/>
        <v>#REF!</v>
      </c>
      <c r="AH31" s="15" t="e">
        <f t="shared" si="66"/>
        <v>#REF!</v>
      </c>
      <c r="AI31" s="15" t="e">
        <f t="shared" si="67"/>
        <v>#REF!</v>
      </c>
      <c r="AJ31" s="15" t="e">
        <f t="shared" si="68"/>
        <v>#REF!</v>
      </c>
      <c r="AK31" s="49"/>
      <c r="AL31" s="15" t="e">
        <f t="shared" si="69"/>
        <v>#REF!</v>
      </c>
      <c r="AM31" s="49"/>
      <c r="AN31" s="15" t="e">
        <f t="shared" si="70"/>
        <v>#REF!</v>
      </c>
      <c r="AO31" s="49"/>
      <c r="AP31" s="15" t="e">
        <f t="shared" si="71"/>
        <v>#REF!</v>
      </c>
      <c r="AQ31" s="316"/>
    </row>
    <row r="32" spans="1:43">
      <c r="A32" s="280" t="e">
        <f>'18年合同登记表'!#REF!</f>
        <v>#REF!</v>
      </c>
      <c r="B32" s="15" t="e">
        <f>'18年合同登记表'!#REF!</f>
        <v>#REF!</v>
      </c>
      <c r="C32" s="281" t="e">
        <f>'18年合同登记表'!#REF!</f>
        <v>#REF!</v>
      </c>
      <c r="D32" s="281" t="e">
        <f>'18年合同登记表'!#REF!</f>
        <v>#REF!</v>
      </c>
      <c r="E32" s="282"/>
      <c r="F32" s="3"/>
      <c r="G32" s="3"/>
      <c r="H32" s="3"/>
      <c r="I32" s="3"/>
      <c r="J32" s="3"/>
      <c r="K32" s="15" t="e">
        <f t="shared" si="54"/>
        <v>#REF!</v>
      </c>
      <c r="L32" s="289" t="e">
        <f t="shared" si="55"/>
        <v>#REF!</v>
      </c>
      <c r="M32" s="282"/>
      <c r="N32" s="3"/>
      <c r="O32" s="3"/>
      <c r="P32" s="3"/>
      <c r="Q32" s="3"/>
      <c r="R32" s="3"/>
      <c r="S32" s="3"/>
      <c r="T32" s="3"/>
      <c r="U32" s="3"/>
      <c r="V32" s="3"/>
      <c r="W32" s="297" t="e">
        <f>'18年合同登记表'!#REF!</f>
        <v>#REF!</v>
      </c>
      <c r="X32" s="15" t="e">
        <f t="shared" si="56"/>
        <v>#REF!</v>
      </c>
      <c r="Y32" s="289" t="e">
        <f t="shared" si="57"/>
        <v>#REF!</v>
      </c>
      <c r="Z32" s="280" t="e">
        <f t="shared" si="58"/>
        <v>#REF!</v>
      </c>
      <c r="AA32" s="15" t="e">
        <f t="shared" si="59"/>
        <v>#REF!</v>
      </c>
      <c r="AB32" s="15" t="e">
        <f t="shared" si="60"/>
        <v>#REF!</v>
      </c>
      <c r="AC32" s="15" t="e">
        <f t="shared" si="61"/>
        <v>#REF!</v>
      </c>
      <c r="AD32" s="15" t="e">
        <f t="shared" si="62"/>
        <v>#REF!</v>
      </c>
      <c r="AE32" s="15" t="e">
        <f t="shared" si="63"/>
        <v>#REF!</v>
      </c>
      <c r="AF32" s="281" t="e">
        <f t="shared" si="64"/>
        <v>#REF!</v>
      </c>
      <c r="AG32" s="280" t="e">
        <f t="shared" si="65"/>
        <v>#REF!</v>
      </c>
      <c r="AH32" s="15" t="e">
        <f t="shared" si="66"/>
        <v>#REF!</v>
      </c>
      <c r="AI32" s="15" t="e">
        <f t="shared" si="67"/>
        <v>#REF!</v>
      </c>
      <c r="AJ32" s="15" t="e">
        <f t="shared" si="68"/>
        <v>#REF!</v>
      </c>
      <c r="AK32" s="49"/>
      <c r="AL32" s="15" t="e">
        <f t="shared" si="69"/>
        <v>#REF!</v>
      </c>
      <c r="AM32" s="49"/>
      <c r="AN32" s="15" t="e">
        <f t="shared" si="70"/>
        <v>#REF!</v>
      </c>
      <c r="AO32" s="49"/>
      <c r="AP32" s="15" t="e">
        <f t="shared" si="71"/>
        <v>#REF!</v>
      </c>
      <c r="AQ32" s="316"/>
    </row>
    <row r="33" spans="1:43">
      <c r="A33" s="285" t="s">
        <v>34</v>
      </c>
      <c r="B33" s="13"/>
      <c r="C33" s="286"/>
      <c r="D33" s="286">
        <f>'18年合同登记表'!M29</f>
        <v>1975513</v>
      </c>
      <c r="E33" s="13">
        <f t="shared" ref="E33:K33" si="72">SUM(E6:E32)</f>
        <v>16674</v>
      </c>
      <c r="F33" s="13">
        <f t="shared" si="72"/>
        <v>233181</v>
      </c>
      <c r="G33" s="13">
        <f t="shared" si="72"/>
        <v>57856.17</v>
      </c>
      <c r="H33" s="13">
        <f t="shared" si="72"/>
        <v>58746</v>
      </c>
      <c r="I33" s="13">
        <f t="shared" si="72"/>
        <v>32060</v>
      </c>
      <c r="J33" s="13">
        <f t="shared" si="72"/>
        <v>6694</v>
      </c>
      <c r="K33" s="13" t="e">
        <f t="shared" si="72"/>
        <v>#REF!</v>
      </c>
      <c r="L33" s="290" t="e">
        <f t="shared" ref="L32:L89" si="73">K33/D33</f>
        <v>#REF!</v>
      </c>
      <c r="M33" s="13">
        <f t="shared" ref="M33:V33" si="74">SUM(M6:M32)</f>
        <v>330</v>
      </c>
      <c r="N33" s="13">
        <f t="shared" si="74"/>
        <v>5495</v>
      </c>
      <c r="O33" s="13">
        <f t="shared" si="74"/>
        <v>2620.2</v>
      </c>
      <c r="P33" s="13">
        <f t="shared" si="74"/>
        <v>5000</v>
      </c>
      <c r="Q33" s="13">
        <f t="shared" si="74"/>
        <v>1650</v>
      </c>
      <c r="R33" s="13">
        <f t="shared" si="74"/>
        <v>330</v>
      </c>
      <c r="S33" s="13">
        <f t="shared" si="74"/>
        <v>0</v>
      </c>
      <c r="T33" s="13">
        <f t="shared" si="74"/>
        <v>0</v>
      </c>
      <c r="U33" s="13">
        <f t="shared" si="74"/>
        <v>0</v>
      </c>
      <c r="V33" s="13">
        <f t="shared" si="74"/>
        <v>1790713</v>
      </c>
      <c r="W33" s="298">
        <f>'18年合同登记表'!R29</f>
        <v>0.994938023693086</v>
      </c>
      <c r="X33" s="13" t="e">
        <f>SUM(X6:X32)</f>
        <v>#REF!</v>
      </c>
      <c r="Y33" s="290" t="e">
        <f t="shared" ref="Y32:Y89" si="75">X33/D33</f>
        <v>#REF!</v>
      </c>
      <c r="Z33" s="285" t="e">
        <f>SUM(Z6:Z32)</f>
        <v>#REF!</v>
      </c>
      <c r="AA33" s="285" t="e">
        <f t="shared" ref="AA33:AQ33" si="76">SUM(AA6:AA32)</f>
        <v>#REF!</v>
      </c>
      <c r="AB33" s="285" t="e">
        <f t="shared" si="76"/>
        <v>#REF!</v>
      </c>
      <c r="AC33" s="285" t="e">
        <f t="shared" si="76"/>
        <v>#REF!</v>
      </c>
      <c r="AD33" s="285" t="e">
        <f t="shared" si="76"/>
        <v>#REF!</v>
      </c>
      <c r="AE33" s="15" t="e">
        <f t="shared" si="63"/>
        <v>#REF!</v>
      </c>
      <c r="AF33" s="285" t="e">
        <f t="shared" si="76"/>
        <v>#REF!</v>
      </c>
      <c r="AG33" s="285" t="e">
        <f t="shared" si="76"/>
        <v>#REF!</v>
      </c>
      <c r="AH33" s="285" t="e">
        <f t="shared" si="76"/>
        <v>#REF!</v>
      </c>
      <c r="AI33" s="285" t="e">
        <f t="shared" si="76"/>
        <v>#REF!</v>
      </c>
      <c r="AJ33" s="285" t="e">
        <f t="shared" si="76"/>
        <v>#REF!</v>
      </c>
      <c r="AK33" s="285">
        <f t="shared" si="76"/>
        <v>0</v>
      </c>
      <c r="AL33" s="285" t="e">
        <f t="shared" si="76"/>
        <v>#REF!</v>
      </c>
      <c r="AM33" s="285">
        <f t="shared" si="76"/>
        <v>0</v>
      </c>
      <c r="AN33" s="285" t="e">
        <f t="shared" si="76"/>
        <v>#REF!</v>
      </c>
      <c r="AO33" s="285">
        <f t="shared" si="76"/>
        <v>0</v>
      </c>
      <c r="AP33" s="285" t="e">
        <f t="shared" si="76"/>
        <v>#REF!</v>
      </c>
      <c r="AQ33" s="285">
        <f t="shared" si="76"/>
        <v>0</v>
      </c>
    </row>
    <row r="34" spans="1:43">
      <c r="A34" s="280" t="str">
        <f>'18年合同登记表'!F30</f>
        <v>艾福亿维</v>
      </c>
      <c r="B34" s="15" t="str">
        <f>'18年合同登记表'!I30</f>
        <v>过滤器</v>
      </c>
      <c r="C34" s="281" t="str">
        <f>'18年合同登记表'!L30</f>
        <v>陈勇/</v>
      </c>
      <c r="D34" s="281">
        <f>'18年合同登记表'!M30</f>
        <v>1600</v>
      </c>
      <c r="E34" s="282">
        <v>291</v>
      </c>
      <c r="F34" s="3">
        <v>454</v>
      </c>
      <c r="G34" s="3">
        <v>254.53</v>
      </c>
      <c r="H34" s="3">
        <v>24</v>
      </c>
      <c r="I34" s="3">
        <v>80</v>
      </c>
      <c r="J34" s="3">
        <v>16</v>
      </c>
      <c r="K34" s="15">
        <f t="shared" ref="K32:K89" si="77">D34-E34-F34-G34-H34-I34-J34</f>
        <v>480.47</v>
      </c>
      <c r="L34" s="289">
        <f t="shared" si="73"/>
        <v>0.30029375</v>
      </c>
      <c r="M34" s="282"/>
      <c r="N34" s="3"/>
      <c r="O34" s="3"/>
      <c r="P34" s="3"/>
      <c r="Q34" s="3"/>
      <c r="R34" s="3"/>
      <c r="S34" s="3"/>
      <c r="T34" s="3"/>
      <c r="U34" s="3">
        <v>0</v>
      </c>
      <c r="V34" s="3">
        <f>'18年合同登记表'!Q30</f>
        <v>1600</v>
      </c>
      <c r="W34" s="297">
        <f>'18年合同登记表'!R30</f>
        <v>1</v>
      </c>
      <c r="X34" s="15">
        <f t="shared" ref="X32:X89" si="78">D34-M34-N34-O34-P34-Q34-R34-U34</f>
        <v>1600</v>
      </c>
      <c r="Y34" s="289">
        <f t="shared" si="75"/>
        <v>1</v>
      </c>
      <c r="Z34" s="280">
        <f t="shared" ref="Z32:Z89" si="79">K34*0.85</f>
        <v>408.3995</v>
      </c>
      <c r="AA34" s="15">
        <f t="shared" ref="AA32:AA89" si="80">K34*0.15</f>
        <v>72.0705</v>
      </c>
      <c r="AB34" s="15">
        <f t="shared" ref="AB32:AB89" si="81">AA34*0.2</f>
        <v>14.4141</v>
      </c>
      <c r="AC34" s="15">
        <f t="shared" ref="AC32:AC89" si="82">AA34*0.8*0.85</f>
        <v>49.00794</v>
      </c>
      <c r="AD34" s="15">
        <f t="shared" ref="AD32:AD89" si="83">AA34*0.8*0.08</f>
        <v>4.612512</v>
      </c>
      <c r="AE34" s="15">
        <f t="shared" ref="AE32:AE89" si="84">AA34*0.8*0.05</f>
        <v>2.88282</v>
      </c>
      <c r="AF34" s="281">
        <f t="shared" ref="AF32:AF89" si="85">AA34*0.8*0.02</f>
        <v>1.153128</v>
      </c>
      <c r="AG34" s="280">
        <f t="shared" ref="AG32:AG89" si="86">X34*0.85</f>
        <v>1360</v>
      </c>
      <c r="AH34" s="15">
        <f t="shared" ref="AH32:AH89" si="87">X34*0.15</f>
        <v>240</v>
      </c>
      <c r="AI34" s="15">
        <f t="shared" ref="AI32:AI89" si="88">AH34*0.2*W34</f>
        <v>48</v>
      </c>
      <c r="AJ34" s="15">
        <f t="shared" ref="AJ32:AJ89" si="89">AH34*0.8*0.85*W34</f>
        <v>163.2</v>
      </c>
      <c r="AK34" s="49"/>
      <c r="AL34" s="15">
        <f t="shared" ref="AL32:AL89" si="90">AH34*0.8*0.08*W34</f>
        <v>15.36</v>
      </c>
      <c r="AM34" s="49"/>
      <c r="AN34" s="15">
        <f t="shared" ref="AN32:AN89" si="91">AH34*0.8*0.05*W34</f>
        <v>9.6</v>
      </c>
      <c r="AO34" s="49"/>
      <c r="AP34" s="15">
        <f t="shared" ref="AP32:AP89" si="92">AH34*0.8*0.02*W34</f>
        <v>3.84</v>
      </c>
      <c r="AQ34" s="316"/>
    </row>
    <row r="35" spans="1:43">
      <c r="A35" s="280" t="str">
        <f>'18年合同登记表'!F31</f>
        <v>东方文创</v>
      </c>
      <c r="B35" s="15" t="str">
        <f>'18年合同登记表'!I31</f>
        <v>更换显示屏</v>
      </c>
      <c r="C35" s="281" t="str">
        <f>'18年合同登记表'!L31</f>
        <v>陈勇/</v>
      </c>
      <c r="D35" s="281">
        <f>'18年合同登记表'!M31</f>
        <v>18000</v>
      </c>
      <c r="E35" s="282">
        <v>6180</v>
      </c>
      <c r="F35" s="3">
        <v>400</v>
      </c>
      <c r="G35" s="3">
        <v>2369.4</v>
      </c>
      <c r="H35" s="3">
        <v>2000</v>
      </c>
      <c r="I35" s="3">
        <v>900</v>
      </c>
      <c r="J35" s="3">
        <v>180</v>
      </c>
      <c r="K35" s="15">
        <f t="shared" si="77"/>
        <v>5970.6</v>
      </c>
      <c r="L35" s="289">
        <f t="shared" si="73"/>
        <v>0.3317</v>
      </c>
      <c r="M35" s="282"/>
      <c r="N35" s="3"/>
      <c r="O35" s="3"/>
      <c r="P35" s="3"/>
      <c r="Q35" s="3"/>
      <c r="R35" s="3"/>
      <c r="S35" s="3"/>
      <c r="T35" s="3"/>
      <c r="U35" s="3">
        <v>0</v>
      </c>
      <c r="V35" s="3">
        <f>'18年合同登记表'!Q31</f>
        <v>18000</v>
      </c>
      <c r="W35" s="297">
        <f>'18年合同登记表'!R31</f>
        <v>1</v>
      </c>
      <c r="X35" s="15">
        <f t="shared" si="78"/>
        <v>18000</v>
      </c>
      <c r="Y35" s="289">
        <f t="shared" si="75"/>
        <v>1</v>
      </c>
      <c r="Z35" s="280">
        <f t="shared" si="79"/>
        <v>5075.01</v>
      </c>
      <c r="AA35" s="15">
        <f t="shared" si="80"/>
        <v>895.59</v>
      </c>
      <c r="AB35" s="15">
        <f t="shared" si="81"/>
        <v>179.118</v>
      </c>
      <c r="AC35" s="15">
        <f t="shared" si="82"/>
        <v>609.0012</v>
      </c>
      <c r="AD35" s="15">
        <f t="shared" si="83"/>
        <v>57.31776</v>
      </c>
      <c r="AE35" s="15">
        <f t="shared" si="84"/>
        <v>35.8236</v>
      </c>
      <c r="AF35" s="281">
        <f t="shared" si="85"/>
        <v>14.32944</v>
      </c>
      <c r="AG35" s="280">
        <f t="shared" si="86"/>
        <v>15300</v>
      </c>
      <c r="AH35" s="15">
        <f t="shared" si="87"/>
        <v>2700</v>
      </c>
      <c r="AI35" s="15">
        <f t="shared" si="88"/>
        <v>540</v>
      </c>
      <c r="AJ35" s="15">
        <f t="shared" si="89"/>
        <v>1836</v>
      </c>
      <c r="AK35" s="49"/>
      <c r="AL35" s="15">
        <f t="shared" si="90"/>
        <v>172.8</v>
      </c>
      <c r="AM35" s="49"/>
      <c r="AN35" s="15">
        <f t="shared" si="91"/>
        <v>108</v>
      </c>
      <c r="AO35" s="49"/>
      <c r="AP35" s="15">
        <f t="shared" si="92"/>
        <v>43.2</v>
      </c>
      <c r="AQ35" s="316"/>
    </row>
    <row r="36" spans="1:43">
      <c r="A36" s="280" t="str">
        <f>'18年合同登记表'!F32</f>
        <v>中科华誉</v>
      </c>
      <c r="B36" s="15" t="str">
        <f>'18年合同登记表'!I32</f>
        <v>机组维修</v>
      </c>
      <c r="C36" s="281" t="str">
        <f>'18年合同登记表'!L32</f>
        <v>李劲/</v>
      </c>
      <c r="D36" s="281">
        <f>'18年合同登记表'!M32</f>
        <v>12000</v>
      </c>
      <c r="E36" s="282">
        <v>120</v>
      </c>
      <c r="F36" s="3">
        <v>6360</v>
      </c>
      <c r="G36" s="3">
        <v>1260</v>
      </c>
      <c r="H36" s="3">
        <v>0</v>
      </c>
      <c r="I36" s="3">
        <v>600</v>
      </c>
      <c r="J36" s="3">
        <v>120</v>
      </c>
      <c r="K36" s="15">
        <f t="shared" si="77"/>
        <v>3540</v>
      </c>
      <c r="L36" s="289">
        <f t="shared" si="73"/>
        <v>0.295</v>
      </c>
      <c r="M36" s="282"/>
      <c r="N36" s="3"/>
      <c r="O36" s="3"/>
      <c r="P36" s="3"/>
      <c r="Q36" s="3"/>
      <c r="R36" s="3"/>
      <c r="S36" s="3"/>
      <c r="T36" s="3"/>
      <c r="U36" s="3">
        <v>0</v>
      </c>
      <c r="V36" s="3">
        <f>'18年合同登记表'!Q32</f>
        <v>12000</v>
      </c>
      <c r="W36" s="297">
        <f>'18年合同登记表'!R32</f>
        <v>1</v>
      </c>
      <c r="X36" s="15">
        <f t="shared" si="78"/>
        <v>12000</v>
      </c>
      <c r="Y36" s="289">
        <f t="shared" si="75"/>
        <v>1</v>
      </c>
      <c r="Z36" s="280">
        <f t="shared" si="79"/>
        <v>3009</v>
      </c>
      <c r="AA36" s="15">
        <f t="shared" si="80"/>
        <v>531</v>
      </c>
      <c r="AB36" s="15">
        <f t="shared" si="81"/>
        <v>106.2</v>
      </c>
      <c r="AC36" s="15">
        <f t="shared" si="82"/>
        <v>361.08</v>
      </c>
      <c r="AD36" s="15">
        <f t="shared" si="83"/>
        <v>33.984</v>
      </c>
      <c r="AE36" s="15">
        <f t="shared" si="84"/>
        <v>21.24</v>
      </c>
      <c r="AF36" s="281">
        <f t="shared" si="85"/>
        <v>8.496</v>
      </c>
      <c r="AG36" s="280">
        <f t="shared" si="86"/>
        <v>10200</v>
      </c>
      <c r="AH36" s="15">
        <f t="shared" si="87"/>
        <v>1800</v>
      </c>
      <c r="AI36" s="15">
        <f t="shared" si="88"/>
        <v>360</v>
      </c>
      <c r="AJ36" s="15">
        <f t="shared" si="89"/>
        <v>1224</v>
      </c>
      <c r="AK36" s="49"/>
      <c r="AL36" s="15">
        <f t="shared" si="90"/>
        <v>115.2</v>
      </c>
      <c r="AM36" s="49"/>
      <c r="AN36" s="15">
        <f t="shared" si="91"/>
        <v>72</v>
      </c>
      <c r="AO36" s="49"/>
      <c r="AP36" s="15">
        <f t="shared" si="92"/>
        <v>28.8</v>
      </c>
      <c r="AQ36" s="316"/>
    </row>
    <row r="37" spans="1:43">
      <c r="A37" s="280" t="str">
        <f>'18年合同登记表'!F33</f>
        <v>天津劝宝</v>
      </c>
      <c r="B37" s="15" t="str">
        <f>'18年合同登记表'!I33</f>
        <v>合同能源管理项目</v>
      </c>
      <c r="C37" s="281" t="str">
        <f>'18年合同登记表'!L33</f>
        <v>王东</v>
      </c>
      <c r="D37" s="281">
        <f>'18年合同登记表'!M33</f>
        <v>734265</v>
      </c>
      <c r="E37" s="282"/>
      <c r="F37" s="3"/>
      <c r="G37" s="3"/>
      <c r="H37" s="3"/>
      <c r="I37" s="3"/>
      <c r="J37" s="3"/>
      <c r="K37" s="15">
        <f t="shared" si="77"/>
        <v>734265</v>
      </c>
      <c r="L37" s="289">
        <f t="shared" si="73"/>
        <v>1</v>
      </c>
      <c r="M37" s="282"/>
      <c r="N37" s="3"/>
      <c r="O37" s="3"/>
      <c r="P37" s="3"/>
      <c r="Q37" s="3"/>
      <c r="R37" s="3"/>
      <c r="S37" s="3"/>
      <c r="T37" s="3"/>
      <c r="U37" s="3">
        <v>0</v>
      </c>
      <c r="V37" s="3">
        <f>'18年合同登记表'!Q33</f>
        <v>0</v>
      </c>
      <c r="W37" s="297">
        <f>'18年合同登记表'!R33</f>
        <v>0</v>
      </c>
      <c r="X37" s="15">
        <f t="shared" si="78"/>
        <v>734265</v>
      </c>
      <c r="Y37" s="289">
        <f t="shared" si="75"/>
        <v>1</v>
      </c>
      <c r="Z37" s="280">
        <f t="shared" si="79"/>
        <v>624125.25</v>
      </c>
      <c r="AA37" s="15">
        <f t="shared" si="80"/>
        <v>110139.75</v>
      </c>
      <c r="AB37" s="15">
        <f t="shared" si="81"/>
        <v>22027.95</v>
      </c>
      <c r="AC37" s="15">
        <f t="shared" si="82"/>
        <v>74895.03</v>
      </c>
      <c r="AD37" s="15">
        <f t="shared" si="83"/>
        <v>7048.944</v>
      </c>
      <c r="AE37" s="15">
        <f t="shared" si="84"/>
        <v>4405.59</v>
      </c>
      <c r="AF37" s="281">
        <f t="shared" si="85"/>
        <v>1762.236</v>
      </c>
      <c r="AG37" s="280">
        <f t="shared" si="86"/>
        <v>624125.25</v>
      </c>
      <c r="AH37" s="15">
        <f t="shared" si="87"/>
        <v>110139.75</v>
      </c>
      <c r="AI37" s="15">
        <f t="shared" si="88"/>
        <v>0</v>
      </c>
      <c r="AJ37" s="15">
        <f t="shared" si="89"/>
        <v>0</v>
      </c>
      <c r="AK37" s="49"/>
      <c r="AL37" s="15">
        <f t="shared" si="90"/>
        <v>0</v>
      </c>
      <c r="AM37" s="49"/>
      <c r="AN37" s="15">
        <f t="shared" si="91"/>
        <v>0</v>
      </c>
      <c r="AO37" s="49"/>
      <c r="AP37" s="15">
        <f t="shared" si="92"/>
        <v>0</v>
      </c>
      <c r="AQ37" s="316"/>
    </row>
    <row r="38" spans="1:43">
      <c r="A38" s="280" t="e">
        <f>'18年合同登记表'!#REF!</f>
        <v>#REF!</v>
      </c>
      <c r="B38" s="15" t="e">
        <f>'18年合同登记表'!#REF!</f>
        <v>#REF!</v>
      </c>
      <c r="C38" s="281" t="e">
        <f>'18年合同登记表'!#REF!</f>
        <v>#REF!</v>
      </c>
      <c r="D38" s="281" t="e">
        <f>'18年合同登记表'!#REF!</f>
        <v>#REF!</v>
      </c>
      <c r="E38" s="282"/>
      <c r="F38" s="3"/>
      <c r="G38" s="3"/>
      <c r="H38" s="3"/>
      <c r="I38" s="3"/>
      <c r="J38" s="3"/>
      <c r="K38" s="15" t="e">
        <f t="shared" si="77"/>
        <v>#REF!</v>
      </c>
      <c r="L38" s="289" t="e">
        <f t="shared" si="73"/>
        <v>#REF!</v>
      </c>
      <c r="M38" s="282"/>
      <c r="N38" s="3"/>
      <c r="O38" s="3"/>
      <c r="P38" s="3"/>
      <c r="Q38" s="3"/>
      <c r="R38" s="3"/>
      <c r="S38" s="3"/>
      <c r="T38" s="3"/>
      <c r="U38" s="3">
        <v>0</v>
      </c>
      <c r="V38" s="3" t="e">
        <f>'18年合同登记表'!#REF!</f>
        <v>#REF!</v>
      </c>
      <c r="W38" s="297" t="e">
        <f>'18年合同登记表'!#REF!</f>
        <v>#REF!</v>
      </c>
      <c r="X38" s="15" t="e">
        <f t="shared" si="78"/>
        <v>#REF!</v>
      </c>
      <c r="Y38" s="289" t="e">
        <f t="shared" si="75"/>
        <v>#REF!</v>
      </c>
      <c r="Z38" s="280" t="e">
        <f t="shared" si="79"/>
        <v>#REF!</v>
      </c>
      <c r="AA38" s="15" t="e">
        <f t="shared" si="80"/>
        <v>#REF!</v>
      </c>
      <c r="AB38" s="15" t="e">
        <f t="shared" si="81"/>
        <v>#REF!</v>
      </c>
      <c r="AC38" s="15" t="e">
        <f t="shared" si="82"/>
        <v>#REF!</v>
      </c>
      <c r="AD38" s="15" t="e">
        <f t="shared" si="83"/>
        <v>#REF!</v>
      </c>
      <c r="AE38" s="15" t="e">
        <f t="shared" si="84"/>
        <v>#REF!</v>
      </c>
      <c r="AF38" s="281" t="e">
        <f t="shared" si="85"/>
        <v>#REF!</v>
      </c>
      <c r="AG38" s="280" t="e">
        <f t="shared" si="86"/>
        <v>#REF!</v>
      </c>
      <c r="AH38" s="15" t="e">
        <f t="shared" si="87"/>
        <v>#REF!</v>
      </c>
      <c r="AI38" s="15" t="e">
        <f t="shared" si="88"/>
        <v>#REF!</v>
      </c>
      <c r="AJ38" s="15" t="e">
        <f t="shared" si="89"/>
        <v>#REF!</v>
      </c>
      <c r="AK38" s="49"/>
      <c r="AL38" s="15" t="e">
        <f t="shared" si="90"/>
        <v>#REF!</v>
      </c>
      <c r="AM38" s="49"/>
      <c r="AN38" s="15" t="e">
        <f t="shared" si="91"/>
        <v>#REF!</v>
      </c>
      <c r="AO38" s="49"/>
      <c r="AP38" s="15" t="e">
        <f t="shared" si="92"/>
        <v>#REF!</v>
      </c>
      <c r="AQ38" s="316"/>
    </row>
    <row r="39" spans="1:43">
      <c r="A39" s="280" t="e">
        <f>'18年合同登记表'!#REF!</f>
        <v>#REF!</v>
      </c>
      <c r="B39" s="15" t="e">
        <f>'18年合同登记表'!#REF!</f>
        <v>#REF!</v>
      </c>
      <c r="C39" s="281" t="e">
        <f>'18年合同登记表'!#REF!</f>
        <v>#REF!</v>
      </c>
      <c r="D39" s="281" t="e">
        <f>'18年合同登记表'!#REF!</f>
        <v>#REF!</v>
      </c>
      <c r="E39" s="282"/>
      <c r="F39" s="3"/>
      <c r="G39" s="3"/>
      <c r="H39" s="3"/>
      <c r="I39" s="3"/>
      <c r="J39" s="3"/>
      <c r="K39" s="15" t="e">
        <f t="shared" si="77"/>
        <v>#REF!</v>
      </c>
      <c r="L39" s="289" t="e">
        <f t="shared" si="73"/>
        <v>#REF!</v>
      </c>
      <c r="M39" s="282"/>
      <c r="N39" s="3"/>
      <c r="O39" s="3"/>
      <c r="P39" s="3"/>
      <c r="Q39" s="3"/>
      <c r="R39" s="3"/>
      <c r="S39" s="3"/>
      <c r="T39" s="3"/>
      <c r="U39" s="3">
        <v>0</v>
      </c>
      <c r="V39" s="3" t="e">
        <f>'18年合同登记表'!#REF!</f>
        <v>#REF!</v>
      </c>
      <c r="W39" s="297" t="e">
        <f>'18年合同登记表'!#REF!</f>
        <v>#REF!</v>
      </c>
      <c r="X39" s="15" t="e">
        <f t="shared" si="78"/>
        <v>#REF!</v>
      </c>
      <c r="Y39" s="289" t="e">
        <f t="shared" si="75"/>
        <v>#REF!</v>
      </c>
      <c r="Z39" s="280" t="e">
        <f t="shared" si="79"/>
        <v>#REF!</v>
      </c>
      <c r="AA39" s="15" t="e">
        <f t="shared" si="80"/>
        <v>#REF!</v>
      </c>
      <c r="AB39" s="15" t="e">
        <f t="shared" si="81"/>
        <v>#REF!</v>
      </c>
      <c r="AC39" s="15" t="e">
        <f t="shared" si="82"/>
        <v>#REF!</v>
      </c>
      <c r="AD39" s="15" t="e">
        <f t="shared" si="83"/>
        <v>#REF!</v>
      </c>
      <c r="AE39" s="15" t="e">
        <f t="shared" si="84"/>
        <v>#REF!</v>
      </c>
      <c r="AF39" s="281" t="e">
        <f t="shared" si="85"/>
        <v>#REF!</v>
      </c>
      <c r="AG39" s="280" t="e">
        <f t="shared" si="86"/>
        <v>#REF!</v>
      </c>
      <c r="AH39" s="15" t="e">
        <f t="shared" si="87"/>
        <v>#REF!</v>
      </c>
      <c r="AI39" s="15" t="e">
        <f t="shared" si="88"/>
        <v>#REF!</v>
      </c>
      <c r="AJ39" s="15" t="e">
        <f t="shared" si="89"/>
        <v>#REF!</v>
      </c>
      <c r="AK39" s="49"/>
      <c r="AL39" s="15" t="e">
        <f t="shared" si="90"/>
        <v>#REF!</v>
      </c>
      <c r="AM39" s="49"/>
      <c r="AN39" s="15" t="e">
        <f t="shared" si="91"/>
        <v>#REF!</v>
      </c>
      <c r="AO39" s="49"/>
      <c r="AP39" s="15" t="e">
        <f t="shared" si="92"/>
        <v>#REF!</v>
      </c>
      <c r="AQ39" s="316"/>
    </row>
    <row r="40" spans="1:43">
      <c r="A40" s="280" t="e">
        <f>'18年合同登记表'!#REF!</f>
        <v>#REF!</v>
      </c>
      <c r="B40" s="15" t="e">
        <f>'18年合同登记表'!#REF!</f>
        <v>#REF!</v>
      </c>
      <c r="C40" s="281" t="e">
        <f>'18年合同登记表'!#REF!</f>
        <v>#REF!</v>
      </c>
      <c r="D40" s="281" t="e">
        <f>'18年合同登记表'!#REF!</f>
        <v>#REF!</v>
      </c>
      <c r="E40" s="282"/>
      <c r="F40" s="3"/>
      <c r="G40" s="3"/>
      <c r="H40" s="3"/>
      <c r="I40" s="3"/>
      <c r="J40" s="3"/>
      <c r="K40" s="15" t="e">
        <f t="shared" si="77"/>
        <v>#REF!</v>
      </c>
      <c r="L40" s="289" t="e">
        <f t="shared" si="73"/>
        <v>#REF!</v>
      </c>
      <c r="M40" s="282"/>
      <c r="N40" s="3"/>
      <c r="O40" s="3"/>
      <c r="P40" s="3"/>
      <c r="Q40" s="3"/>
      <c r="R40" s="3"/>
      <c r="S40" s="3"/>
      <c r="T40" s="3"/>
      <c r="U40" s="3">
        <v>0</v>
      </c>
      <c r="V40" s="3" t="e">
        <f>'18年合同登记表'!#REF!</f>
        <v>#REF!</v>
      </c>
      <c r="W40" s="297" t="e">
        <f>'18年合同登记表'!#REF!</f>
        <v>#REF!</v>
      </c>
      <c r="X40" s="15" t="e">
        <f t="shared" si="78"/>
        <v>#REF!</v>
      </c>
      <c r="Y40" s="289" t="e">
        <f t="shared" si="75"/>
        <v>#REF!</v>
      </c>
      <c r="Z40" s="280" t="e">
        <f t="shared" si="79"/>
        <v>#REF!</v>
      </c>
      <c r="AA40" s="15" t="e">
        <f t="shared" si="80"/>
        <v>#REF!</v>
      </c>
      <c r="AB40" s="15" t="e">
        <f t="shared" si="81"/>
        <v>#REF!</v>
      </c>
      <c r="AC40" s="15" t="e">
        <f t="shared" si="82"/>
        <v>#REF!</v>
      </c>
      <c r="AD40" s="15" t="e">
        <f t="shared" si="83"/>
        <v>#REF!</v>
      </c>
      <c r="AE40" s="15" t="e">
        <f t="shared" si="84"/>
        <v>#REF!</v>
      </c>
      <c r="AF40" s="281" t="e">
        <f t="shared" si="85"/>
        <v>#REF!</v>
      </c>
      <c r="AG40" s="280" t="e">
        <f t="shared" si="86"/>
        <v>#REF!</v>
      </c>
      <c r="AH40" s="15" t="e">
        <f t="shared" si="87"/>
        <v>#REF!</v>
      </c>
      <c r="AI40" s="15" t="e">
        <f t="shared" si="88"/>
        <v>#REF!</v>
      </c>
      <c r="AJ40" s="15" t="e">
        <f t="shared" si="89"/>
        <v>#REF!</v>
      </c>
      <c r="AK40" s="49"/>
      <c r="AL40" s="15" t="e">
        <f t="shared" si="90"/>
        <v>#REF!</v>
      </c>
      <c r="AM40" s="49"/>
      <c r="AN40" s="15" t="e">
        <f t="shared" si="91"/>
        <v>#REF!</v>
      </c>
      <c r="AO40" s="49"/>
      <c r="AP40" s="15" t="e">
        <f t="shared" si="92"/>
        <v>#REF!</v>
      </c>
      <c r="AQ40" s="316"/>
    </row>
    <row r="41" spans="1:43">
      <c r="A41" s="280" t="e">
        <f>'18年合同登记表'!#REF!</f>
        <v>#REF!</v>
      </c>
      <c r="B41" s="15" t="e">
        <f>'18年合同登记表'!#REF!</f>
        <v>#REF!</v>
      </c>
      <c r="C41" s="281" t="e">
        <f>'18年合同登记表'!#REF!</f>
        <v>#REF!</v>
      </c>
      <c r="D41" s="281" t="e">
        <f>'18年合同登记表'!#REF!</f>
        <v>#REF!</v>
      </c>
      <c r="E41" s="282"/>
      <c r="F41" s="3"/>
      <c r="G41" s="3"/>
      <c r="H41" s="3"/>
      <c r="I41" s="3"/>
      <c r="J41" s="3"/>
      <c r="K41" s="15" t="e">
        <f t="shared" si="77"/>
        <v>#REF!</v>
      </c>
      <c r="L41" s="289" t="e">
        <f t="shared" si="73"/>
        <v>#REF!</v>
      </c>
      <c r="M41" s="282"/>
      <c r="N41" s="3"/>
      <c r="O41" s="3"/>
      <c r="P41" s="3"/>
      <c r="Q41" s="3"/>
      <c r="R41" s="3"/>
      <c r="S41" s="3"/>
      <c r="T41" s="3"/>
      <c r="U41" s="3">
        <v>0</v>
      </c>
      <c r="V41" s="3" t="e">
        <f>'18年合同登记表'!#REF!</f>
        <v>#REF!</v>
      </c>
      <c r="W41" s="297" t="e">
        <f>'18年合同登记表'!#REF!</f>
        <v>#REF!</v>
      </c>
      <c r="X41" s="15" t="e">
        <f t="shared" si="78"/>
        <v>#REF!</v>
      </c>
      <c r="Y41" s="289" t="e">
        <f t="shared" si="75"/>
        <v>#REF!</v>
      </c>
      <c r="Z41" s="280" t="e">
        <f t="shared" si="79"/>
        <v>#REF!</v>
      </c>
      <c r="AA41" s="15" t="e">
        <f t="shared" si="80"/>
        <v>#REF!</v>
      </c>
      <c r="AB41" s="15" t="e">
        <f t="shared" si="81"/>
        <v>#REF!</v>
      </c>
      <c r="AC41" s="15" t="e">
        <f t="shared" si="82"/>
        <v>#REF!</v>
      </c>
      <c r="AD41" s="15" t="e">
        <f t="shared" si="83"/>
        <v>#REF!</v>
      </c>
      <c r="AE41" s="15" t="e">
        <f t="shared" si="84"/>
        <v>#REF!</v>
      </c>
      <c r="AF41" s="281" t="e">
        <f t="shared" si="85"/>
        <v>#REF!</v>
      </c>
      <c r="AG41" s="280" t="e">
        <f t="shared" si="86"/>
        <v>#REF!</v>
      </c>
      <c r="AH41" s="15" t="e">
        <f t="shared" si="87"/>
        <v>#REF!</v>
      </c>
      <c r="AI41" s="15" t="e">
        <f t="shared" si="88"/>
        <v>#REF!</v>
      </c>
      <c r="AJ41" s="15" t="e">
        <f t="shared" si="89"/>
        <v>#REF!</v>
      </c>
      <c r="AK41" s="49"/>
      <c r="AL41" s="15" t="e">
        <f t="shared" si="90"/>
        <v>#REF!</v>
      </c>
      <c r="AM41" s="49"/>
      <c r="AN41" s="15" t="e">
        <f t="shared" si="91"/>
        <v>#REF!</v>
      </c>
      <c r="AO41" s="49"/>
      <c r="AP41" s="15" t="e">
        <f t="shared" si="92"/>
        <v>#REF!</v>
      </c>
      <c r="AQ41" s="316"/>
    </row>
    <row r="42" spans="1:43">
      <c r="A42" s="285" t="s">
        <v>35</v>
      </c>
      <c r="B42" s="13"/>
      <c r="C42" s="286"/>
      <c r="D42" s="286">
        <f>'18年合同登记表'!M34</f>
        <v>765865</v>
      </c>
      <c r="E42" s="13">
        <f t="shared" ref="E42:K42" si="93">SUM(E34:E41)</f>
        <v>6591</v>
      </c>
      <c r="F42" s="13">
        <f t="shared" si="93"/>
        <v>7214</v>
      </c>
      <c r="G42" s="13">
        <f t="shared" si="93"/>
        <v>3883.93</v>
      </c>
      <c r="H42" s="13">
        <f t="shared" si="93"/>
        <v>2024</v>
      </c>
      <c r="I42" s="13">
        <f t="shared" si="93"/>
        <v>1580</v>
      </c>
      <c r="J42" s="13">
        <f t="shared" si="93"/>
        <v>316</v>
      </c>
      <c r="K42" s="13" t="e">
        <f t="shared" si="93"/>
        <v>#REF!</v>
      </c>
      <c r="L42" s="290" t="e">
        <f t="shared" si="73"/>
        <v>#REF!</v>
      </c>
      <c r="M42" s="13">
        <f t="shared" ref="M42" si="94">SUM(M34:M41)</f>
        <v>0</v>
      </c>
      <c r="N42" s="13">
        <f t="shared" ref="N42" si="95">SUM(N34:N41)</f>
        <v>0</v>
      </c>
      <c r="O42" s="13">
        <f t="shared" ref="O42" si="96">SUM(O34:O41)</f>
        <v>0</v>
      </c>
      <c r="P42" s="13">
        <f t="shared" ref="P42" si="97">SUM(P34:P41)</f>
        <v>0</v>
      </c>
      <c r="Q42" s="13">
        <f t="shared" ref="Q42" si="98">SUM(Q34:Q41)</f>
        <v>0</v>
      </c>
      <c r="R42" s="13">
        <f t="shared" ref="R42" si="99">SUM(R34:R41)</f>
        <v>0</v>
      </c>
      <c r="S42" s="13">
        <f t="shared" ref="S42" si="100">SUM(S34:S41)</f>
        <v>0</v>
      </c>
      <c r="T42" s="13">
        <f t="shared" ref="T42" si="101">SUM(T34:T41)</f>
        <v>0</v>
      </c>
      <c r="U42" s="13">
        <f t="shared" ref="U42:V42" si="102">SUM(U34:U41)</f>
        <v>0</v>
      </c>
      <c r="V42" s="13" t="e">
        <f t="shared" si="102"/>
        <v>#REF!</v>
      </c>
      <c r="W42" s="298">
        <f>'18年合同登记表'!R34</f>
        <v>0.0412605354729619</v>
      </c>
      <c r="X42" s="13" t="e">
        <f>SUM(X34:X41)</f>
        <v>#REF!</v>
      </c>
      <c r="Y42" s="290" t="e">
        <f t="shared" si="75"/>
        <v>#REF!</v>
      </c>
      <c r="Z42" s="13" t="e">
        <f t="shared" ref="Z42:AQ42" si="103">SUM(Z34:Z41)</f>
        <v>#REF!</v>
      </c>
      <c r="AA42" s="13" t="e">
        <f t="shared" si="103"/>
        <v>#REF!</v>
      </c>
      <c r="AB42" s="13" t="e">
        <f t="shared" si="103"/>
        <v>#REF!</v>
      </c>
      <c r="AC42" s="13" t="e">
        <f t="shared" si="103"/>
        <v>#REF!</v>
      </c>
      <c r="AD42" s="13" t="e">
        <f t="shared" si="103"/>
        <v>#REF!</v>
      </c>
      <c r="AE42" s="13" t="e">
        <f t="shared" si="103"/>
        <v>#REF!</v>
      </c>
      <c r="AF42" s="13" t="e">
        <f t="shared" si="103"/>
        <v>#REF!</v>
      </c>
      <c r="AG42" s="13" t="e">
        <f t="shared" si="103"/>
        <v>#REF!</v>
      </c>
      <c r="AH42" s="13" t="e">
        <f t="shared" si="103"/>
        <v>#REF!</v>
      </c>
      <c r="AI42" s="13" t="e">
        <f t="shared" si="103"/>
        <v>#REF!</v>
      </c>
      <c r="AJ42" s="13" t="e">
        <f t="shared" si="103"/>
        <v>#REF!</v>
      </c>
      <c r="AK42" s="13">
        <f t="shared" si="103"/>
        <v>0</v>
      </c>
      <c r="AL42" s="13" t="e">
        <f t="shared" si="103"/>
        <v>#REF!</v>
      </c>
      <c r="AM42" s="13">
        <f t="shared" si="103"/>
        <v>0</v>
      </c>
      <c r="AN42" s="13" t="e">
        <f t="shared" si="103"/>
        <v>#REF!</v>
      </c>
      <c r="AO42" s="13">
        <f t="shared" si="103"/>
        <v>0</v>
      </c>
      <c r="AP42" s="13" t="e">
        <f t="shared" si="103"/>
        <v>#REF!</v>
      </c>
      <c r="AQ42" s="13">
        <f t="shared" si="103"/>
        <v>0</v>
      </c>
    </row>
    <row r="43" spans="1:43">
      <c r="A43" s="285" t="s">
        <v>36</v>
      </c>
      <c r="B43" s="13"/>
      <c r="C43" s="286"/>
      <c r="D43" s="286">
        <f>'18年合同登记表'!M35</f>
        <v>2741378</v>
      </c>
      <c r="E43" s="13">
        <f t="shared" ref="E43:K43" si="104">E33+E42</f>
        <v>23265</v>
      </c>
      <c r="F43" s="13">
        <f t="shared" si="104"/>
        <v>240395</v>
      </c>
      <c r="G43" s="13">
        <f t="shared" si="104"/>
        <v>61740.1</v>
      </c>
      <c r="H43" s="13">
        <f t="shared" si="104"/>
        <v>60770</v>
      </c>
      <c r="I43" s="13">
        <f t="shared" si="104"/>
        <v>33640</v>
      </c>
      <c r="J43" s="13">
        <f t="shared" si="104"/>
        <v>7010</v>
      </c>
      <c r="K43" s="13" t="e">
        <f t="shared" si="104"/>
        <v>#REF!</v>
      </c>
      <c r="L43" s="290" t="e">
        <f t="shared" si="73"/>
        <v>#REF!</v>
      </c>
      <c r="M43" s="13">
        <f t="shared" ref="M43" si="105">M33+M42</f>
        <v>330</v>
      </c>
      <c r="N43" s="13">
        <f t="shared" ref="N43" si="106">N33+N42</f>
        <v>5495</v>
      </c>
      <c r="O43" s="13">
        <f t="shared" ref="O43" si="107">O33+O42</f>
        <v>2620.2</v>
      </c>
      <c r="P43" s="13">
        <f t="shared" ref="P43" si="108">P33+P42</f>
        <v>5000</v>
      </c>
      <c r="Q43" s="13">
        <f t="shared" ref="Q43" si="109">Q33+Q42</f>
        <v>1650</v>
      </c>
      <c r="R43" s="13">
        <f t="shared" ref="R43" si="110">R33+R42</f>
        <v>330</v>
      </c>
      <c r="S43" s="13">
        <f t="shared" ref="S43" si="111">S33+S42</f>
        <v>0</v>
      </c>
      <c r="T43" s="13">
        <f t="shared" ref="T43" si="112">T33+T42</f>
        <v>0</v>
      </c>
      <c r="U43" s="13">
        <f t="shared" ref="U43:V43" si="113">U33+U42</f>
        <v>0</v>
      </c>
      <c r="V43" s="13" t="e">
        <f t="shared" si="113"/>
        <v>#REF!</v>
      </c>
      <c r="W43" s="298">
        <f>'18年合同登记表'!R35</f>
        <v>0.728506977147989</v>
      </c>
      <c r="X43" s="13" t="e">
        <f>X33+X42</f>
        <v>#REF!</v>
      </c>
      <c r="Y43" s="290" t="e">
        <f t="shared" si="75"/>
        <v>#REF!</v>
      </c>
      <c r="Z43" s="13" t="e">
        <f t="shared" ref="Z43:AQ43" si="114">Z33+Z42</f>
        <v>#REF!</v>
      </c>
      <c r="AA43" s="13" t="e">
        <f t="shared" si="114"/>
        <v>#REF!</v>
      </c>
      <c r="AB43" s="13" t="e">
        <f t="shared" si="114"/>
        <v>#REF!</v>
      </c>
      <c r="AC43" s="13" t="e">
        <f t="shared" si="114"/>
        <v>#REF!</v>
      </c>
      <c r="AD43" s="13" t="e">
        <f t="shared" si="114"/>
        <v>#REF!</v>
      </c>
      <c r="AE43" s="13" t="e">
        <f t="shared" si="114"/>
        <v>#REF!</v>
      </c>
      <c r="AF43" s="13" t="e">
        <f t="shared" si="114"/>
        <v>#REF!</v>
      </c>
      <c r="AG43" s="13" t="e">
        <f t="shared" si="114"/>
        <v>#REF!</v>
      </c>
      <c r="AH43" s="13" t="e">
        <f t="shared" si="114"/>
        <v>#REF!</v>
      </c>
      <c r="AI43" s="13" t="e">
        <f t="shared" si="114"/>
        <v>#REF!</v>
      </c>
      <c r="AJ43" s="13" t="e">
        <f t="shared" si="114"/>
        <v>#REF!</v>
      </c>
      <c r="AK43" s="13">
        <f t="shared" si="114"/>
        <v>0</v>
      </c>
      <c r="AL43" s="13" t="e">
        <f t="shared" si="114"/>
        <v>#REF!</v>
      </c>
      <c r="AM43" s="13">
        <f t="shared" si="114"/>
        <v>0</v>
      </c>
      <c r="AN43" s="13" t="e">
        <f t="shared" si="114"/>
        <v>#REF!</v>
      </c>
      <c r="AO43" s="13">
        <f t="shared" si="114"/>
        <v>0</v>
      </c>
      <c r="AP43" s="13" t="e">
        <f t="shared" si="114"/>
        <v>#REF!</v>
      </c>
      <c r="AQ43" s="13">
        <f t="shared" si="114"/>
        <v>0</v>
      </c>
    </row>
    <row r="44" spans="1:43">
      <c r="A44" s="280" t="str">
        <f>'18年合同登记表'!F36</f>
        <v>环境大厦</v>
      </c>
      <c r="B44" s="15" t="str">
        <f>'18年合同登记表'!I36</f>
        <v>直燃机维保</v>
      </c>
      <c r="C44" s="281" t="str">
        <f>'18年合同登记表'!L36</f>
        <v>兰健</v>
      </c>
      <c r="D44" s="281">
        <f>'18年合同登记表'!M36</f>
        <v>69600</v>
      </c>
      <c r="E44" s="282">
        <v>696</v>
      </c>
      <c r="F44" s="3">
        <v>8088</v>
      </c>
      <c r="G44" s="3">
        <v>7308</v>
      </c>
      <c r="H44" s="3">
        <v>25000</v>
      </c>
      <c r="I44" s="3">
        <v>3480</v>
      </c>
      <c r="J44" s="3">
        <v>696</v>
      </c>
      <c r="K44" s="15">
        <f t="shared" si="77"/>
        <v>24332</v>
      </c>
      <c r="L44" s="289">
        <f t="shared" si="73"/>
        <v>0.349597701149425</v>
      </c>
      <c r="M44" s="282"/>
      <c r="N44" s="3"/>
      <c r="O44" s="3"/>
      <c r="P44" s="3"/>
      <c r="Q44" s="3"/>
      <c r="R44" s="3"/>
      <c r="S44" s="3"/>
      <c r="T44" s="3"/>
      <c r="U44" s="3">
        <v>0</v>
      </c>
      <c r="V44" s="3">
        <f>'18年合同登记表'!Q36</f>
        <v>69600</v>
      </c>
      <c r="W44" s="297">
        <f>'18年合同登记表'!R36</f>
        <v>1</v>
      </c>
      <c r="X44" s="15">
        <f t="shared" si="78"/>
        <v>69600</v>
      </c>
      <c r="Y44" s="289">
        <f t="shared" si="75"/>
        <v>1</v>
      </c>
      <c r="Z44" s="280">
        <f t="shared" si="79"/>
        <v>20682.2</v>
      </c>
      <c r="AA44" s="15">
        <f t="shared" si="80"/>
        <v>3649.8</v>
      </c>
      <c r="AB44" s="15">
        <f t="shared" si="81"/>
        <v>729.96</v>
      </c>
      <c r="AC44" s="15">
        <f t="shared" si="82"/>
        <v>2481.864</v>
      </c>
      <c r="AD44" s="15">
        <f t="shared" si="83"/>
        <v>233.5872</v>
      </c>
      <c r="AE44" s="15">
        <f t="shared" si="84"/>
        <v>145.992</v>
      </c>
      <c r="AF44" s="281">
        <f t="shared" si="85"/>
        <v>58.3968</v>
      </c>
      <c r="AG44" s="280">
        <f t="shared" si="86"/>
        <v>59160</v>
      </c>
      <c r="AH44" s="15">
        <f t="shared" si="87"/>
        <v>10440</v>
      </c>
      <c r="AI44" s="15">
        <f t="shared" si="88"/>
        <v>2088</v>
      </c>
      <c r="AJ44" s="15">
        <f t="shared" si="89"/>
        <v>7099.2</v>
      </c>
      <c r="AK44" s="49"/>
      <c r="AL44" s="15">
        <f t="shared" si="90"/>
        <v>668.16</v>
      </c>
      <c r="AM44" s="49"/>
      <c r="AN44" s="15">
        <f t="shared" si="91"/>
        <v>417.6</v>
      </c>
      <c r="AO44" s="49"/>
      <c r="AP44" s="15">
        <f t="shared" si="92"/>
        <v>167.04</v>
      </c>
      <c r="AQ44" s="316"/>
    </row>
    <row r="45" spans="1:43">
      <c r="A45" s="280" t="str">
        <f>'18年合同登记表'!F37</f>
        <v>环境大厦</v>
      </c>
      <c r="B45" s="15" t="str">
        <f>'18年合同登记表'!I37</f>
        <v>空调托管运行</v>
      </c>
      <c r="C45" s="281" t="str">
        <f>'18年合同登记表'!L37</f>
        <v>兰健</v>
      </c>
      <c r="D45" s="281">
        <f>'18年合同登记表'!M37</f>
        <v>199600</v>
      </c>
      <c r="E45" s="282">
        <v>1996</v>
      </c>
      <c r="F45" s="3">
        <v>152868</v>
      </c>
      <c r="G45" s="3">
        <v>20958</v>
      </c>
      <c r="H45" s="3">
        <v>0</v>
      </c>
      <c r="I45" s="3">
        <v>9980</v>
      </c>
      <c r="J45" s="3">
        <v>1996</v>
      </c>
      <c r="K45" s="15">
        <f t="shared" si="77"/>
        <v>11802</v>
      </c>
      <c r="L45" s="289">
        <f t="shared" si="73"/>
        <v>0.059128256513026</v>
      </c>
      <c r="M45" s="282"/>
      <c r="N45" s="3"/>
      <c r="O45" s="3"/>
      <c r="P45" s="3"/>
      <c r="Q45" s="3"/>
      <c r="R45" s="3"/>
      <c r="S45" s="3"/>
      <c r="T45" s="3"/>
      <c r="U45" s="3">
        <v>0</v>
      </c>
      <c r="V45" s="3">
        <f>'18年合同登记表'!Q37</f>
        <v>199600</v>
      </c>
      <c r="W45" s="297">
        <f>'18年合同登记表'!R37</f>
        <v>1</v>
      </c>
      <c r="X45" s="15">
        <f t="shared" si="78"/>
        <v>199600</v>
      </c>
      <c r="Y45" s="289">
        <f t="shared" si="75"/>
        <v>1</v>
      </c>
      <c r="Z45" s="280">
        <f t="shared" si="79"/>
        <v>10031.7</v>
      </c>
      <c r="AA45" s="15">
        <f t="shared" si="80"/>
        <v>1770.3</v>
      </c>
      <c r="AB45" s="15">
        <f t="shared" si="81"/>
        <v>354.06</v>
      </c>
      <c r="AC45" s="15">
        <f t="shared" si="82"/>
        <v>1203.804</v>
      </c>
      <c r="AD45" s="15">
        <f t="shared" si="83"/>
        <v>113.2992</v>
      </c>
      <c r="AE45" s="15">
        <f t="shared" si="84"/>
        <v>70.812</v>
      </c>
      <c r="AF45" s="281">
        <f t="shared" si="85"/>
        <v>28.3248</v>
      </c>
      <c r="AG45" s="280">
        <f t="shared" si="86"/>
        <v>169660</v>
      </c>
      <c r="AH45" s="15">
        <f t="shared" si="87"/>
        <v>29940</v>
      </c>
      <c r="AI45" s="15">
        <f t="shared" si="88"/>
        <v>5988</v>
      </c>
      <c r="AJ45" s="15">
        <f t="shared" si="89"/>
        <v>20359.2</v>
      </c>
      <c r="AK45" s="49"/>
      <c r="AL45" s="15">
        <f t="shared" si="90"/>
        <v>1916.16</v>
      </c>
      <c r="AM45" s="49"/>
      <c r="AN45" s="15">
        <f t="shared" si="91"/>
        <v>1197.6</v>
      </c>
      <c r="AO45" s="49"/>
      <c r="AP45" s="15">
        <f t="shared" si="92"/>
        <v>479.04</v>
      </c>
      <c r="AQ45" s="316"/>
    </row>
    <row r="46" spans="1:43">
      <c r="A46" s="280" t="str">
        <f>'18年合同登记表'!F38</f>
        <v>山西三洋</v>
      </c>
      <c r="B46" s="15" t="str">
        <f>'18年合同登记表'!I38</f>
        <v>购销合同</v>
      </c>
      <c r="C46" s="281" t="str">
        <f>'18年合同登记表'!L38</f>
        <v>陈勇/</v>
      </c>
      <c r="D46" s="281">
        <f>'18年合同登记表'!M38</f>
        <v>7580</v>
      </c>
      <c r="E46" s="282">
        <v>4733</v>
      </c>
      <c r="F46" s="3">
        <v>0</v>
      </c>
      <c r="G46" s="3">
        <v>787</v>
      </c>
      <c r="H46" s="3">
        <v>341</v>
      </c>
      <c r="I46" s="3">
        <v>151</v>
      </c>
      <c r="J46" s="3">
        <v>75</v>
      </c>
      <c r="K46" s="15">
        <f t="shared" si="77"/>
        <v>1493</v>
      </c>
      <c r="L46" s="289">
        <f t="shared" si="73"/>
        <v>0.196965699208443</v>
      </c>
      <c r="M46" s="282"/>
      <c r="N46" s="3"/>
      <c r="O46" s="3"/>
      <c r="P46" s="3"/>
      <c r="Q46" s="3"/>
      <c r="R46" s="3"/>
      <c r="S46" s="3"/>
      <c r="T46" s="3"/>
      <c r="U46" s="3">
        <v>0</v>
      </c>
      <c r="V46" s="3">
        <f>'18年合同登记表'!Q38</f>
        <v>7580</v>
      </c>
      <c r="W46" s="297">
        <f>'18年合同登记表'!R38</f>
        <v>1</v>
      </c>
      <c r="X46" s="15">
        <f t="shared" si="78"/>
        <v>7580</v>
      </c>
      <c r="Y46" s="289">
        <f t="shared" si="75"/>
        <v>1</v>
      </c>
      <c r="Z46" s="280">
        <f t="shared" si="79"/>
        <v>1269.05</v>
      </c>
      <c r="AA46" s="15">
        <f t="shared" si="80"/>
        <v>223.95</v>
      </c>
      <c r="AB46" s="15">
        <f t="shared" si="81"/>
        <v>44.79</v>
      </c>
      <c r="AC46" s="15">
        <f t="shared" si="82"/>
        <v>152.286</v>
      </c>
      <c r="AD46" s="15">
        <f t="shared" si="83"/>
        <v>14.3328</v>
      </c>
      <c r="AE46" s="15">
        <f t="shared" si="84"/>
        <v>8.958</v>
      </c>
      <c r="AF46" s="281">
        <f t="shared" si="85"/>
        <v>3.5832</v>
      </c>
      <c r="AG46" s="280">
        <f t="shared" si="86"/>
        <v>6443</v>
      </c>
      <c r="AH46" s="15">
        <f t="shared" si="87"/>
        <v>1137</v>
      </c>
      <c r="AI46" s="15">
        <f t="shared" si="88"/>
        <v>227.4</v>
      </c>
      <c r="AJ46" s="15">
        <f t="shared" si="89"/>
        <v>773.16</v>
      </c>
      <c r="AK46" s="49"/>
      <c r="AL46" s="15">
        <f t="shared" si="90"/>
        <v>72.768</v>
      </c>
      <c r="AM46" s="49"/>
      <c r="AN46" s="15">
        <f t="shared" si="91"/>
        <v>45.48</v>
      </c>
      <c r="AO46" s="49"/>
      <c r="AP46" s="15">
        <f t="shared" si="92"/>
        <v>18.192</v>
      </c>
      <c r="AQ46" s="316"/>
    </row>
    <row r="47" spans="1:43">
      <c r="A47" s="280" t="str">
        <f>'18年合同登记表'!F39</f>
        <v>博源置业</v>
      </c>
      <c r="B47" s="15" t="str">
        <f>'18年合同登记表'!I39</f>
        <v>中央空调年度维保</v>
      </c>
      <c r="C47" s="281" t="str">
        <f>'18年合同登记表'!L39</f>
        <v>陈勇/</v>
      </c>
      <c r="D47" s="281">
        <f>'18年合同登记表'!M39</f>
        <v>66000</v>
      </c>
      <c r="E47" s="282">
        <v>13640</v>
      </c>
      <c r="F47" s="3">
        <v>6660</v>
      </c>
      <c r="G47" s="3">
        <v>6111.6</v>
      </c>
      <c r="H47" s="3">
        <v>13650</v>
      </c>
      <c r="I47" s="3">
        <v>3300</v>
      </c>
      <c r="J47" s="3">
        <v>660</v>
      </c>
      <c r="K47" s="15">
        <f t="shared" si="77"/>
        <v>21978.4</v>
      </c>
      <c r="L47" s="289">
        <f t="shared" si="73"/>
        <v>0.333006060606061</v>
      </c>
      <c r="M47" s="282"/>
      <c r="N47" s="3"/>
      <c r="O47" s="3"/>
      <c r="P47" s="3"/>
      <c r="Q47" s="3"/>
      <c r="R47" s="3"/>
      <c r="S47" s="3"/>
      <c r="T47" s="3"/>
      <c r="U47" s="3">
        <v>0</v>
      </c>
      <c r="V47" s="3">
        <f>'18年合同登记表'!Q39</f>
        <v>66000</v>
      </c>
      <c r="W47" s="297">
        <f>'18年合同登记表'!R39</f>
        <v>1</v>
      </c>
      <c r="X47" s="15">
        <f t="shared" si="78"/>
        <v>66000</v>
      </c>
      <c r="Y47" s="289">
        <f t="shared" si="75"/>
        <v>1</v>
      </c>
      <c r="Z47" s="280">
        <f t="shared" si="79"/>
        <v>18681.64</v>
      </c>
      <c r="AA47" s="15">
        <f t="shared" si="80"/>
        <v>3296.76</v>
      </c>
      <c r="AB47" s="15">
        <f t="shared" si="81"/>
        <v>659.352</v>
      </c>
      <c r="AC47" s="15">
        <f t="shared" si="82"/>
        <v>2241.7968</v>
      </c>
      <c r="AD47" s="15">
        <f t="shared" si="83"/>
        <v>210.99264</v>
      </c>
      <c r="AE47" s="15">
        <f t="shared" si="84"/>
        <v>131.8704</v>
      </c>
      <c r="AF47" s="281">
        <f t="shared" si="85"/>
        <v>52.74816</v>
      </c>
      <c r="AG47" s="280">
        <f t="shared" si="86"/>
        <v>56100</v>
      </c>
      <c r="AH47" s="15">
        <f t="shared" si="87"/>
        <v>9900</v>
      </c>
      <c r="AI47" s="15">
        <f t="shared" si="88"/>
        <v>1980</v>
      </c>
      <c r="AJ47" s="15">
        <f t="shared" si="89"/>
        <v>6732</v>
      </c>
      <c r="AK47" s="49"/>
      <c r="AL47" s="15">
        <f t="shared" si="90"/>
        <v>633.6</v>
      </c>
      <c r="AM47" s="49"/>
      <c r="AN47" s="15">
        <f t="shared" si="91"/>
        <v>396</v>
      </c>
      <c r="AO47" s="49"/>
      <c r="AP47" s="15">
        <f t="shared" si="92"/>
        <v>158.4</v>
      </c>
      <c r="AQ47" s="316"/>
    </row>
    <row r="48" spans="1:43">
      <c r="A48" s="280" t="str">
        <f>'18年合同登记表'!F40</f>
        <v>承德中滦</v>
      </c>
      <c r="B48" s="15" t="str">
        <f>'18年合同登记表'!I40</f>
        <v>6台制冷机维护保养及清洗</v>
      </c>
      <c r="C48" s="281" t="str">
        <f>'18年合同登记表'!L40</f>
        <v>陈勇/</v>
      </c>
      <c r="D48" s="281">
        <f>'18年合同登记表'!M40</f>
        <v>192196.58</v>
      </c>
      <c r="E48" s="282">
        <v>51990</v>
      </c>
      <c r="F48" s="3">
        <v>46355</v>
      </c>
      <c r="G48" s="3">
        <v>19765.6</v>
      </c>
      <c r="H48" s="3">
        <v>14925</v>
      </c>
      <c r="I48" s="3">
        <v>9950</v>
      </c>
      <c r="J48" s="3">
        <v>1990</v>
      </c>
      <c r="K48" s="15">
        <f t="shared" si="77"/>
        <v>47220.98</v>
      </c>
      <c r="L48" s="289">
        <f t="shared" si="73"/>
        <v>0.245691052358996</v>
      </c>
      <c r="M48" s="282"/>
      <c r="N48" s="3"/>
      <c r="O48" s="3"/>
      <c r="P48" s="3"/>
      <c r="Q48" s="3"/>
      <c r="R48" s="3"/>
      <c r="S48" s="3"/>
      <c r="T48" s="3"/>
      <c r="U48" s="3">
        <v>0</v>
      </c>
      <c r="V48" s="3">
        <f>'18年合同登记表'!Q40</f>
        <v>0</v>
      </c>
      <c r="W48" s="297">
        <f>'18年合同登记表'!R40</f>
        <v>0</v>
      </c>
      <c r="X48" s="15">
        <f t="shared" si="78"/>
        <v>192196.58</v>
      </c>
      <c r="Y48" s="289">
        <f t="shared" si="75"/>
        <v>1</v>
      </c>
      <c r="Z48" s="280">
        <f t="shared" si="79"/>
        <v>40137.833</v>
      </c>
      <c r="AA48" s="15">
        <f t="shared" si="80"/>
        <v>7083.147</v>
      </c>
      <c r="AB48" s="15">
        <f t="shared" si="81"/>
        <v>1416.6294</v>
      </c>
      <c r="AC48" s="15">
        <f t="shared" si="82"/>
        <v>4816.53996</v>
      </c>
      <c r="AD48" s="15">
        <f t="shared" si="83"/>
        <v>453.321408</v>
      </c>
      <c r="AE48" s="15">
        <f t="shared" si="84"/>
        <v>283.32588</v>
      </c>
      <c r="AF48" s="281">
        <f t="shared" si="85"/>
        <v>113.330352</v>
      </c>
      <c r="AG48" s="280">
        <f t="shared" si="86"/>
        <v>163367.093</v>
      </c>
      <c r="AH48" s="15">
        <f t="shared" si="87"/>
        <v>28829.487</v>
      </c>
      <c r="AI48" s="15">
        <f t="shared" si="88"/>
        <v>0</v>
      </c>
      <c r="AJ48" s="15">
        <f t="shared" si="89"/>
        <v>0</v>
      </c>
      <c r="AK48" s="49"/>
      <c r="AL48" s="15">
        <f t="shared" si="90"/>
        <v>0</v>
      </c>
      <c r="AM48" s="49"/>
      <c r="AN48" s="15">
        <f t="shared" si="91"/>
        <v>0</v>
      </c>
      <c r="AO48" s="49"/>
      <c r="AP48" s="15">
        <f t="shared" si="92"/>
        <v>0</v>
      </c>
      <c r="AQ48" s="316"/>
    </row>
    <row r="49" spans="1:43">
      <c r="A49" s="280" t="e">
        <f>'18年合同登记表'!#REF!</f>
        <v>#REF!</v>
      </c>
      <c r="B49" s="15" t="e">
        <f>'18年合同登记表'!#REF!</f>
        <v>#REF!</v>
      </c>
      <c r="C49" s="281" t="e">
        <f>'18年合同登记表'!#REF!</f>
        <v>#REF!</v>
      </c>
      <c r="D49" s="281" t="e">
        <f>'18年合同登记表'!#REF!</f>
        <v>#REF!</v>
      </c>
      <c r="E49" s="282"/>
      <c r="F49" s="3"/>
      <c r="G49" s="3"/>
      <c r="H49" s="3"/>
      <c r="I49" s="3"/>
      <c r="J49" s="3"/>
      <c r="K49" s="15" t="e">
        <f t="shared" si="77"/>
        <v>#REF!</v>
      </c>
      <c r="L49" s="289" t="e">
        <f t="shared" si="73"/>
        <v>#REF!</v>
      </c>
      <c r="M49" s="282"/>
      <c r="N49" s="3"/>
      <c r="O49" s="3"/>
      <c r="P49" s="3"/>
      <c r="Q49" s="3"/>
      <c r="R49" s="3"/>
      <c r="S49" s="3"/>
      <c r="T49" s="3"/>
      <c r="U49" s="3">
        <v>0</v>
      </c>
      <c r="V49" s="3">
        <f>'18年合同登记表'!Q41</f>
        <v>97986</v>
      </c>
      <c r="W49" s="297">
        <f>'18年合同登记表'!R41</f>
        <v>1</v>
      </c>
      <c r="X49" s="15" t="e">
        <f t="shared" si="78"/>
        <v>#REF!</v>
      </c>
      <c r="Y49" s="289" t="e">
        <f t="shared" si="75"/>
        <v>#REF!</v>
      </c>
      <c r="Z49" s="280" t="e">
        <f t="shared" si="79"/>
        <v>#REF!</v>
      </c>
      <c r="AA49" s="15" t="e">
        <f t="shared" si="80"/>
        <v>#REF!</v>
      </c>
      <c r="AB49" s="15" t="e">
        <f t="shared" si="81"/>
        <v>#REF!</v>
      </c>
      <c r="AC49" s="15" t="e">
        <f t="shared" si="82"/>
        <v>#REF!</v>
      </c>
      <c r="AD49" s="15" t="e">
        <f t="shared" si="83"/>
        <v>#REF!</v>
      </c>
      <c r="AE49" s="15" t="e">
        <f t="shared" si="84"/>
        <v>#REF!</v>
      </c>
      <c r="AF49" s="281" t="e">
        <f t="shared" si="85"/>
        <v>#REF!</v>
      </c>
      <c r="AG49" s="280" t="e">
        <f t="shared" si="86"/>
        <v>#REF!</v>
      </c>
      <c r="AH49" s="15" t="e">
        <f t="shared" si="87"/>
        <v>#REF!</v>
      </c>
      <c r="AI49" s="15" t="e">
        <f t="shared" si="88"/>
        <v>#REF!</v>
      </c>
      <c r="AJ49" s="15" t="e">
        <f t="shared" si="89"/>
        <v>#REF!</v>
      </c>
      <c r="AK49" s="49"/>
      <c r="AL49" s="15" t="e">
        <f t="shared" si="90"/>
        <v>#REF!</v>
      </c>
      <c r="AM49" s="49"/>
      <c r="AN49" s="15" t="e">
        <f t="shared" si="91"/>
        <v>#REF!</v>
      </c>
      <c r="AO49" s="49"/>
      <c r="AP49" s="15" t="e">
        <f t="shared" si="92"/>
        <v>#REF!</v>
      </c>
      <c r="AQ49" s="316"/>
    </row>
    <row r="50" spans="1:43">
      <c r="A50" s="280" t="str">
        <f>'18年合同登记表'!F51</f>
        <v>天信亮</v>
      </c>
      <c r="B50" s="15" t="str">
        <f>'18年合同登记表'!I51</f>
        <v>开利螺杆机维保技术服务</v>
      </c>
      <c r="C50" s="281" t="str">
        <f>'18年合同登记表'!L51</f>
        <v>陈勇/</v>
      </c>
      <c r="D50" s="281">
        <f>'18年合同登记表'!M51</f>
        <v>35000</v>
      </c>
      <c r="E50" s="282"/>
      <c r="F50" s="3"/>
      <c r="G50" s="3"/>
      <c r="H50" s="3"/>
      <c r="I50" s="3"/>
      <c r="J50" s="3"/>
      <c r="K50" s="15">
        <f t="shared" si="77"/>
        <v>35000</v>
      </c>
      <c r="L50" s="289">
        <f t="shared" si="73"/>
        <v>1</v>
      </c>
      <c r="M50" s="282"/>
      <c r="N50" s="3"/>
      <c r="O50" s="3"/>
      <c r="P50" s="3"/>
      <c r="Q50" s="3"/>
      <c r="R50" s="3"/>
      <c r="S50" s="3"/>
      <c r="T50" s="3"/>
      <c r="U50" s="3">
        <v>0</v>
      </c>
      <c r="V50" s="3">
        <f>'18年合同登记表'!Q42</f>
        <v>89040</v>
      </c>
      <c r="W50" s="297">
        <f>'18年合同登记表'!R42</f>
        <v>1</v>
      </c>
      <c r="X50" s="15">
        <f t="shared" si="78"/>
        <v>35000</v>
      </c>
      <c r="Y50" s="289">
        <f t="shared" si="75"/>
        <v>1</v>
      </c>
      <c r="Z50" s="280">
        <f t="shared" si="79"/>
        <v>29750</v>
      </c>
      <c r="AA50" s="15">
        <f t="shared" si="80"/>
        <v>5250</v>
      </c>
      <c r="AB50" s="15">
        <f t="shared" si="81"/>
        <v>1050</v>
      </c>
      <c r="AC50" s="15">
        <f t="shared" si="82"/>
        <v>3570</v>
      </c>
      <c r="AD50" s="15">
        <f t="shared" si="83"/>
        <v>336</v>
      </c>
      <c r="AE50" s="15">
        <f t="shared" si="84"/>
        <v>210</v>
      </c>
      <c r="AF50" s="281">
        <f t="shared" si="85"/>
        <v>84</v>
      </c>
      <c r="AG50" s="280">
        <f t="shared" si="86"/>
        <v>29750</v>
      </c>
      <c r="AH50" s="15">
        <f t="shared" si="87"/>
        <v>5250</v>
      </c>
      <c r="AI50" s="15">
        <f t="shared" si="88"/>
        <v>1050</v>
      </c>
      <c r="AJ50" s="15">
        <f t="shared" si="89"/>
        <v>3570</v>
      </c>
      <c r="AK50" s="49"/>
      <c r="AL50" s="15">
        <f t="shared" si="90"/>
        <v>336</v>
      </c>
      <c r="AM50" s="49"/>
      <c r="AN50" s="15">
        <f t="shared" si="91"/>
        <v>210</v>
      </c>
      <c r="AO50" s="49"/>
      <c r="AP50" s="15">
        <f t="shared" si="92"/>
        <v>84</v>
      </c>
      <c r="AQ50" s="316"/>
    </row>
    <row r="51" spans="1:43">
      <c r="A51" s="280" t="e">
        <f>'18年合同登记表'!#REF!</f>
        <v>#REF!</v>
      </c>
      <c r="B51" s="15" t="e">
        <f>'18年合同登记表'!#REF!</f>
        <v>#REF!</v>
      </c>
      <c r="C51" s="281" t="e">
        <f>'18年合同登记表'!#REF!</f>
        <v>#REF!</v>
      </c>
      <c r="D51" s="281" t="e">
        <f>'18年合同登记表'!#REF!</f>
        <v>#REF!</v>
      </c>
      <c r="E51" s="282"/>
      <c r="F51" s="3"/>
      <c r="G51" s="3"/>
      <c r="H51" s="3"/>
      <c r="I51" s="3"/>
      <c r="J51" s="3"/>
      <c r="K51" s="15" t="e">
        <f t="shared" si="77"/>
        <v>#REF!</v>
      </c>
      <c r="L51" s="289" t="e">
        <f t="shared" si="73"/>
        <v>#REF!</v>
      </c>
      <c r="M51" s="282"/>
      <c r="N51" s="3"/>
      <c r="O51" s="3"/>
      <c r="P51" s="3"/>
      <c r="Q51" s="3"/>
      <c r="R51" s="3"/>
      <c r="S51" s="3"/>
      <c r="T51" s="3"/>
      <c r="U51" s="3">
        <v>0</v>
      </c>
      <c r="V51" s="3" t="e">
        <f>'18年合同登记表'!#REF!</f>
        <v>#REF!</v>
      </c>
      <c r="W51" s="297" t="e">
        <f>'18年合同登记表'!#REF!</f>
        <v>#REF!</v>
      </c>
      <c r="X51" s="15" t="e">
        <f t="shared" si="78"/>
        <v>#REF!</v>
      </c>
      <c r="Y51" s="289" t="e">
        <f t="shared" si="75"/>
        <v>#REF!</v>
      </c>
      <c r="Z51" s="280" t="e">
        <f t="shared" si="79"/>
        <v>#REF!</v>
      </c>
      <c r="AA51" s="15" t="e">
        <f t="shared" si="80"/>
        <v>#REF!</v>
      </c>
      <c r="AB51" s="15" t="e">
        <f t="shared" si="81"/>
        <v>#REF!</v>
      </c>
      <c r="AC51" s="15" t="e">
        <f t="shared" si="82"/>
        <v>#REF!</v>
      </c>
      <c r="AD51" s="15" t="e">
        <f t="shared" si="83"/>
        <v>#REF!</v>
      </c>
      <c r="AE51" s="15" t="e">
        <f t="shared" si="84"/>
        <v>#REF!</v>
      </c>
      <c r="AF51" s="281" t="e">
        <f t="shared" si="85"/>
        <v>#REF!</v>
      </c>
      <c r="AG51" s="280" t="e">
        <f t="shared" si="86"/>
        <v>#REF!</v>
      </c>
      <c r="AH51" s="15" t="e">
        <f t="shared" si="87"/>
        <v>#REF!</v>
      </c>
      <c r="AI51" s="15" t="e">
        <f t="shared" si="88"/>
        <v>#REF!</v>
      </c>
      <c r="AJ51" s="15" t="e">
        <f t="shared" si="89"/>
        <v>#REF!</v>
      </c>
      <c r="AK51" s="49"/>
      <c r="AL51" s="15" t="e">
        <f t="shared" si="90"/>
        <v>#REF!</v>
      </c>
      <c r="AM51" s="49"/>
      <c r="AN51" s="15" t="e">
        <f t="shared" si="91"/>
        <v>#REF!</v>
      </c>
      <c r="AO51" s="49"/>
      <c r="AP51" s="15" t="e">
        <f t="shared" si="92"/>
        <v>#REF!</v>
      </c>
      <c r="AQ51" s="316"/>
    </row>
    <row r="52" spans="1:43">
      <c r="A52" s="285" t="s">
        <v>37</v>
      </c>
      <c r="B52" s="13"/>
      <c r="C52" s="286"/>
      <c r="D52" s="286">
        <f>'18年合同登记表'!M44</f>
        <v>753002.58</v>
      </c>
      <c r="E52" s="13">
        <f t="shared" ref="E52" si="115">SUM(E44:E51)</f>
        <v>73055</v>
      </c>
      <c r="F52" s="13">
        <f t="shared" ref="F52" si="116">SUM(F44:F51)</f>
        <v>213971</v>
      </c>
      <c r="G52" s="13">
        <f t="shared" ref="G52" si="117">SUM(G44:G51)</f>
        <v>54930.2</v>
      </c>
      <c r="H52" s="13">
        <f t="shared" ref="H52" si="118">SUM(H44:H51)</f>
        <v>53916</v>
      </c>
      <c r="I52" s="13">
        <f t="shared" ref="I52" si="119">SUM(I44:I51)</f>
        <v>26861</v>
      </c>
      <c r="J52" s="13">
        <f t="shared" ref="J52:K52" si="120">SUM(J44:J51)</f>
        <v>5417</v>
      </c>
      <c r="K52" s="13" t="e">
        <f t="shared" si="120"/>
        <v>#REF!</v>
      </c>
      <c r="L52" s="290" t="e">
        <f t="shared" si="73"/>
        <v>#REF!</v>
      </c>
      <c r="M52" s="13">
        <f t="shared" ref="M52" si="121">SUM(M44:M51)</f>
        <v>0</v>
      </c>
      <c r="N52" s="13">
        <f t="shared" ref="N52" si="122">SUM(N44:N51)</f>
        <v>0</v>
      </c>
      <c r="O52" s="13">
        <f t="shared" ref="O52" si="123">SUM(O44:O51)</f>
        <v>0</v>
      </c>
      <c r="P52" s="13">
        <f t="shared" ref="P52" si="124">SUM(P44:P51)</f>
        <v>0</v>
      </c>
      <c r="Q52" s="13">
        <f t="shared" ref="Q52" si="125">SUM(Q44:Q51)</f>
        <v>0</v>
      </c>
      <c r="R52" s="13">
        <f t="shared" ref="R52" si="126">SUM(R44:R51)</f>
        <v>0</v>
      </c>
      <c r="S52" s="13">
        <f t="shared" ref="S52" si="127">SUM(S44:S51)</f>
        <v>0</v>
      </c>
      <c r="T52" s="13">
        <f t="shared" ref="T52" si="128">SUM(T44:T51)</f>
        <v>0</v>
      </c>
      <c r="U52" s="13">
        <f t="shared" ref="U52:V52" si="129">SUM(U44:U51)</f>
        <v>0</v>
      </c>
      <c r="V52" s="13" t="e">
        <f t="shared" si="129"/>
        <v>#REF!</v>
      </c>
      <c r="W52" s="298">
        <f>'18年合同登记表'!R44</f>
        <v>0.744759732430133</v>
      </c>
      <c r="X52" s="13" t="e">
        <f>SUM(X44:X51)</f>
        <v>#REF!</v>
      </c>
      <c r="Y52" s="290" t="e">
        <f t="shared" si="75"/>
        <v>#REF!</v>
      </c>
      <c r="Z52" s="13" t="e">
        <f t="shared" ref="Z52" si="130">SUM(Z44:Z51)</f>
        <v>#REF!</v>
      </c>
      <c r="AA52" s="13" t="e">
        <f t="shared" ref="AA52" si="131">SUM(AA44:AA51)</f>
        <v>#REF!</v>
      </c>
      <c r="AB52" s="13" t="e">
        <f t="shared" ref="AB52" si="132">SUM(AB44:AB51)</f>
        <v>#REF!</v>
      </c>
      <c r="AC52" s="13" t="e">
        <f t="shared" ref="AC52" si="133">SUM(AC44:AC51)</f>
        <v>#REF!</v>
      </c>
      <c r="AD52" s="13" t="e">
        <f t="shared" ref="AD52" si="134">SUM(AD44:AD51)</f>
        <v>#REF!</v>
      </c>
      <c r="AE52" s="13" t="e">
        <f t="shared" ref="AE52" si="135">SUM(AE44:AE51)</f>
        <v>#REF!</v>
      </c>
      <c r="AF52" s="13" t="e">
        <f t="shared" ref="AF52" si="136">SUM(AF44:AF51)</f>
        <v>#REF!</v>
      </c>
      <c r="AG52" s="13" t="e">
        <f t="shared" ref="AG52" si="137">SUM(AG44:AG51)</f>
        <v>#REF!</v>
      </c>
      <c r="AH52" s="13" t="e">
        <f t="shared" ref="AH52" si="138">SUM(AH44:AH51)</f>
        <v>#REF!</v>
      </c>
      <c r="AI52" s="13" t="e">
        <f t="shared" ref="AI52" si="139">SUM(AI44:AI51)</f>
        <v>#REF!</v>
      </c>
      <c r="AJ52" s="13" t="e">
        <f t="shared" ref="AJ52" si="140">SUM(AJ44:AJ51)</f>
        <v>#REF!</v>
      </c>
      <c r="AK52" s="13">
        <f t="shared" ref="AK52" si="141">SUM(AK44:AK51)</f>
        <v>0</v>
      </c>
      <c r="AL52" s="13" t="e">
        <f t="shared" ref="AL52" si="142">SUM(AL44:AL51)</f>
        <v>#REF!</v>
      </c>
      <c r="AM52" s="13">
        <f t="shared" ref="AM52" si="143">SUM(AM44:AM51)</f>
        <v>0</v>
      </c>
      <c r="AN52" s="13" t="e">
        <f t="shared" ref="AN52" si="144">SUM(AN44:AN51)</f>
        <v>#REF!</v>
      </c>
      <c r="AO52" s="13">
        <f t="shared" ref="AO52" si="145">SUM(AO44:AO51)</f>
        <v>0</v>
      </c>
      <c r="AP52" s="13" t="e">
        <f t="shared" ref="AP52" si="146">SUM(AP44:AP51)</f>
        <v>#REF!</v>
      </c>
      <c r="AQ52" s="13">
        <f t="shared" ref="AQ52" si="147">SUM(AQ44:AQ51)</f>
        <v>0</v>
      </c>
    </row>
    <row r="53" spans="1:43">
      <c r="A53" s="285" t="s">
        <v>38</v>
      </c>
      <c r="B53" s="13"/>
      <c r="C53" s="286"/>
      <c r="D53" s="286">
        <f>'18年合同登记表'!M45</f>
        <v>3494380.58</v>
      </c>
      <c r="E53" s="13">
        <f t="shared" ref="E53" si="148">E43+E52</f>
        <v>96320</v>
      </c>
      <c r="F53" s="13">
        <f t="shared" ref="F53" si="149">F43+F52</f>
        <v>454366</v>
      </c>
      <c r="G53" s="13">
        <f t="shared" ref="G53" si="150">G43+G52</f>
        <v>116670.3</v>
      </c>
      <c r="H53" s="13">
        <f t="shared" ref="H53" si="151">H43+H52</f>
        <v>114686</v>
      </c>
      <c r="I53" s="13">
        <f t="shared" ref="I53" si="152">I43+I52</f>
        <v>60501</v>
      </c>
      <c r="J53" s="13">
        <f t="shared" ref="J53:K53" si="153">J43+J52</f>
        <v>12427</v>
      </c>
      <c r="K53" s="13" t="e">
        <f t="shared" si="153"/>
        <v>#REF!</v>
      </c>
      <c r="L53" s="290" t="e">
        <f t="shared" si="73"/>
        <v>#REF!</v>
      </c>
      <c r="M53" s="13">
        <f t="shared" ref="M53" si="154">M43+M52</f>
        <v>330</v>
      </c>
      <c r="N53" s="13">
        <f t="shared" ref="N53" si="155">N43+N52</f>
        <v>5495</v>
      </c>
      <c r="O53" s="13">
        <f t="shared" ref="O53" si="156">O43+O52</f>
        <v>2620.2</v>
      </c>
      <c r="P53" s="13">
        <f t="shared" ref="P53" si="157">P43+P52</f>
        <v>5000</v>
      </c>
      <c r="Q53" s="13">
        <f t="shared" ref="Q53" si="158">Q43+Q52</f>
        <v>1650</v>
      </c>
      <c r="R53" s="13">
        <f t="shared" ref="R53" si="159">R43+R52</f>
        <v>330</v>
      </c>
      <c r="S53" s="13">
        <f t="shared" ref="S53" si="160">S43+S52</f>
        <v>0</v>
      </c>
      <c r="T53" s="13">
        <f t="shared" ref="T53" si="161">T43+T52</f>
        <v>0</v>
      </c>
      <c r="U53" s="13">
        <f t="shared" ref="U53:V53" si="162">U43+U52</f>
        <v>0</v>
      </c>
      <c r="V53" s="13" t="e">
        <f t="shared" si="162"/>
        <v>#REF!</v>
      </c>
      <c r="W53" s="298">
        <f>'18年合同登记表'!R45</f>
        <v>0.732009276448074</v>
      </c>
      <c r="X53" s="13" t="e">
        <f>X43+X52</f>
        <v>#REF!</v>
      </c>
      <c r="Y53" s="290" t="e">
        <f t="shared" si="75"/>
        <v>#REF!</v>
      </c>
      <c r="Z53" s="13" t="e">
        <f t="shared" ref="Z53" si="163">Z43+Z52</f>
        <v>#REF!</v>
      </c>
      <c r="AA53" s="13" t="e">
        <f t="shared" ref="AA53" si="164">AA43+AA52</f>
        <v>#REF!</v>
      </c>
      <c r="AB53" s="13" t="e">
        <f t="shared" ref="AB53" si="165">AB43+AB52</f>
        <v>#REF!</v>
      </c>
      <c r="AC53" s="13" t="e">
        <f t="shared" ref="AC53" si="166">AC43+AC52</f>
        <v>#REF!</v>
      </c>
      <c r="AD53" s="13" t="e">
        <f t="shared" ref="AD53" si="167">AD43+AD52</f>
        <v>#REF!</v>
      </c>
      <c r="AE53" s="13" t="e">
        <f t="shared" ref="AE53" si="168">AE43+AE52</f>
        <v>#REF!</v>
      </c>
      <c r="AF53" s="13" t="e">
        <f t="shared" ref="AF53" si="169">AF43+AF52</f>
        <v>#REF!</v>
      </c>
      <c r="AG53" s="13" t="e">
        <f t="shared" ref="AG53" si="170">AG43+AG52</f>
        <v>#REF!</v>
      </c>
      <c r="AH53" s="13" t="e">
        <f t="shared" ref="AH53" si="171">AH43+AH52</f>
        <v>#REF!</v>
      </c>
      <c r="AI53" s="13" t="e">
        <f t="shared" ref="AI53" si="172">AI43+AI52</f>
        <v>#REF!</v>
      </c>
      <c r="AJ53" s="13" t="e">
        <f t="shared" ref="AJ53" si="173">AJ43+AJ52</f>
        <v>#REF!</v>
      </c>
      <c r="AK53" s="13">
        <f t="shared" ref="AK53" si="174">AK43+AK52</f>
        <v>0</v>
      </c>
      <c r="AL53" s="13" t="e">
        <f t="shared" ref="AL53" si="175">AL43+AL52</f>
        <v>#REF!</v>
      </c>
      <c r="AM53" s="13">
        <f t="shared" ref="AM53" si="176">AM43+AM52</f>
        <v>0</v>
      </c>
      <c r="AN53" s="13" t="e">
        <f t="shared" ref="AN53" si="177">AN43+AN52</f>
        <v>#REF!</v>
      </c>
      <c r="AO53" s="13">
        <f t="shared" ref="AO53" si="178">AO43+AO52</f>
        <v>0</v>
      </c>
      <c r="AP53" s="13" t="e">
        <f t="shared" ref="AP53" si="179">AP43+AP52</f>
        <v>#REF!</v>
      </c>
      <c r="AQ53" s="13">
        <f t="shared" ref="AQ53" si="180">AQ43+AQ52</f>
        <v>0</v>
      </c>
    </row>
    <row r="54" spans="1:43">
      <c r="A54" s="280" t="str">
        <f>'18年合同登记表'!F46</f>
        <v>阿奇夏米尔</v>
      </c>
      <c r="B54" s="15" t="str">
        <f>'18年合同登记表'!I46</f>
        <v>真空热水机组技术服务合同</v>
      </c>
      <c r="C54" s="281" t="str">
        <f>'18年合同登记表'!L46</f>
        <v>兰健</v>
      </c>
      <c r="D54" s="281">
        <f>'18年合同登记表'!M46</f>
        <v>15000</v>
      </c>
      <c r="E54" s="282">
        <v>150</v>
      </c>
      <c r="F54" s="3">
        <v>5450</v>
      </c>
      <c r="G54" s="3">
        <v>1566</v>
      </c>
      <c r="H54" s="3">
        <v>2375</v>
      </c>
      <c r="I54" s="3">
        <v>750</v>
      </c>
      <c r="J54" s="3">
        <v>150</v>
      </c>
      <c r="K54" s="15">
        <f t="shared" si="77"/>
        <v>4559</v>
      </c>
      <c r="L54" s="289">
        <f t="shared" si="73"/>
        <v>0.303933333333333</v>
      </c>
      <c r="M54" s="282"/>
      <c r="N54" s="3"/>
      <c r="O54" s="3"/>
      <c r="P54" s="3"/>
      <c r="Q54" s="3"/>
      <c r="R54" s="3"/>
      <c r="S54" s="3"/>
      <c r="T54" s="3"/>
      <c r="U54" s="3">
        <v>0</v>
      </c>
      <c r="V54" s="3">
        <f>'18年合同登记表'!Q46</f>
        <v>15000</v>
      </c>
      <c r="W54" s="297">
        <f>'18年合同登记表'!R46</f>
        <v>1</v>
      </c>
      <c r="X54" s="15">
        <f t="shared" si="78"/>
        <v>15000</v>
      </c>
      <c r="Y54" s="289">
        <f t="shared" si="75"/>
        <v>1</v>
      </c>
      <c r="Z54" s="280">
        <f t="shared" si="79"/>
        <v>3875.15</v>
      </c>
      <c r="AA54" s="15">
        <f t="shared" si="80"/>
        <v>683.85</v>
      </c>
      <c r="AB54" s="15">
        <f t="shared" si="81"/>
        <v>136.77</v>
      </c>
      <c r="AC54" s="15">
        <f t="shared" si="82"/>
        <v>465.018</v>
      </c>
      <c r="AD54" s="15">
        <f t="shared" si="83"/>
        <v>43.7664</v>
      </c>
      <c r="AE54" s="15">
        <f t="shared" si="84"/>
        <v>27.354</v>
      </c>
      <c r="AF54" s="281">
        <f t="shared" si="85"/>
        <v>10.9416</v>
      </c>
      <c r="AG54" s="280">
        <f t="shared" si="86"/>
        <v>12750</v>
      </c>
      <c r="AH54" s="15">
        <f t="shared" si="87"/>
        <v>2250</v>
      </c>
      <c r="AI54" s="15">
        <f t="shared" si="88"/>
        <v>450</v>
      </c>
      <c r="AJ54" s="15">
        <f t="shared" si="89"/>
        <v>1530</v>
      </c>
      <c r="AK54" s="49"/>
      <c r="AL54" s="15">
        <f t="shared" si="90"/>
        <v>144</v>
      </c>
      <c r="AM54" s="49"/>
      <c r="AN54" s="15">
        <f t="shared" si="91"/>
        <v>90</v>
      </c>
      <c r="AO54" s="49"/>
      <c r="AP54" s="15">
        <f t="shared" si="92"/>
        <v>36</v>
      </c>
      <c r="AQ54" s="316"/>
    </row>
    <row r="55" spans="1:43">
      <c r="A55" s="280" t="str">
        <f>'18年合同登记表'!F47</f>
        <v>长城汽车</v>
      </c>
      <c r="B55" s="15" t="str">
        <f>'18年合同登记表'!I47</f>
        <v>制冷机组维修保养</v>
      </c>
      <c r="C55" s="281" t="str">
        <f>'18年合同登记表'!L47</f>
        <v>陈勇/</v>
      </c>
      <c r="D55" s="281">
        <f>'18年合同登记表'!M47</f>
        <v>19829</v>
      </c>
      <c r="E55" s="282"/>
      <c r="F55" s="3"/>
      <c r="G55" s="3"/>
      <c r="H55" s="3"/>
      <c r="I55" s="3"/>
      <c r="J55" s="3"/>
      <c r="K55" s="15">
        <f t="shared" si="77"/>
        <v>19829</v>
      </c>
      <c r="L55" s="289">
        <f t="shared" si="73"/>
        <v>1</v>
      </c>
      <c r="M55" s="282"/>
      <c r="N55" s="3"/>
      <c r="O55" s="3"/>
      <c r="P55" s="3"/>
      <c r="Q55" s="3"/>
      <c r="R55" s="3"/>
      <c r="S55" s="3"/>
      <c r="T55" s="3"/>
      <c r="U55" s="3">
        <v>0</v>
      </c>
      <c r="V55" s="3">
        <f>'18年合同登记表'!Q47</f>
        <v>19829</v>
      </c>
      <c r="W55" s="297">
        <f>'18年合同登记表'!R47</f>
        <v>1</v>
      </c>
      <c r="X55" s="15">
        <f t="shared" si="78"/>
        <v>19829</v>
      </c>
      <c r="Y55" s="289">
        <f t="shared" si="75"/>
        <v>1</v>
      </c>
      <c r="Z55" s="280">
        <f t="shared" si="79"/>
        <v>16854.65</v>
      </c>
      <c r="AA55" s="15">
        <f t="shared" si="80"/>
        <v>2974.35</v>
      </c>
      <c r="AB55" s="15">
        <f t="shared" si="81"/>
        <v>594.87</v>
      </c>
      <c r="AC55" s="15">
        <f t="shared" si="82"/>
        <v>2022.558</v>
      </c>
      <c r="AD55" s="15">
        <f t="shared" si="83"/>
        <v>190.3584</v>
      </c>
      <c r="AE55" s="15">
        <f t="shared" si="84"/>
        <v>118.974</v>
      </c>
      <c r="AF55" s="281">
        <f t="shared" si="85"/>
        <v>47.5896</v>
      </c>
      <c r="AG55" s="280">
        <f t="shared" si="86"/>
        <v>16854.65</v>
      </c>
      <c r="AH55" s="15">
        <f t="shared" si="87"/>
        <v>2974.35</v>
      </c>
      <c r="AI55" s="15">
        <f t="shared" si="88"/>
        <v>594.87</v>
      </c>
      <c r="AJ55" s="15">
        <f t="shared" si="89"/>
        <v>2022.558</v>
      </c>
      <c r="AK55" s="49"/>
      <c r="AL55" s="15">
        <f t="shared" si="90"/>
        <v>190.3584</v>
      </c>
      <c r="AM55" s="49"/>
      <c r="AN55" s="15">
        <f t="shared" si="91"/>
        <v>118.974</v>
      </c>
      <c r="AO55" s="49"/>
      <c r="AP55" s="15">
        <f t="shared" si="92"/>
        <v>47.5896</v>
      </c>
      <c r="AQ55" s="316"/>
    </row>
    <row r="56" spans="1:43">
      <c r="A56" s="280" t="str">
        <f>'18年合同登记表'!F48</f>
        <v>清华同方</v>
      </c>
      <c r="B56" s="15" t="str">
        <f>'18年合同登记表'!I48</f>
        <v>冷却塔填料更换项目</v>
      </c>
      <c r="C56" s="281" t="str">
        <f>'18年合同登记表'!L48</f>
        <v>陈勇/</v>
      </c>
      <c r="D56" s="281">
        <f>'18年合同登记表'!M48</f>
        <v>100000</v>
      </c>
      <c r="E56" s="282">
        <v>1000</v>
      </c>
      <c r="F56" s="3">
        <v>50000</v>
      </c>
      <c r="G56" s="3">
        <v>11840</v>
      </c>
      <c r="H56" s="3">
        <v>17500</v>
      </c>
      <c r="I56" s="3">
        <v>5000</v>
      </c>
      <c r="J56" s="3">
        <v>1000</v>
      </c>
      <c r="K56" s="15">
        <f t="shared" si="77"/>
        <v>13660</v>
      </c>
      <c r="L56" s="289">
        <f t="shared" si="73"/>
        <v>0.1366</v>
      </c>
      <c r="M56" s="282"/>
      <c r="N56" s="3"/>
      <c r="O56" s="3"/>
      <c r="P56" s="3"/>
      <c r="Q56" s="3"/>
      <c r="R56" s="3"/>
      <c r="S56" s="3"/>
      <c r="T56" s="3"/>
      <c r="U56" s="3">
        <v>0</v>
      </c>
      <c r="V56" s="3">
        <f>'18年合同登记表'!Q48</f>
        <v>100000</v>
      </c>
      <c r="W56" s="297">
        <f>'18年合同登记表'!R48</f>
        <v>1</v>
      </c>
      <c r="X56" s="15">
        <f t="shared" si="78"/>
        <v>100000</v>
      </c>
      <c r="Y56" s="289">
        <f t="shared" si="75"/>
        <v>1</v>
      </c>
      <c r="Z56" s="280">
        <f t="shared" si="79"/>
        <v>11611</v>
      </c>
      <c r="AA56" s="15">
        <f t="shared" si="80"/>
        <v>2049</v>
      </c>
      <c r="AB56" s="15">
        <f t="shared" si="81"/>
        <v>409.8</v>
      </c>
      <c r="AC56" s="15">
        <f t="shared" si="82"/>
        <v>1393.32</v>
      </c>
      <c r="AD56" s="15">
        <f t="shared" si="83"/>
        <v>131.136</v>
      </c>
      <c r="AE56" s="15">
        <f t="shared" si="84"/>
        <v>81.96</v>
      </c>
      <c r="AF56" s="281">
        <f t="shared" si="85"/>
        <v>32.784</v>
      </c>
      <c r="AG56" s="280">
        <f t="shared" si="86"/>
        <v>85000</v>
      </c>
      <c r="AH56" s="15">
        <f t="shared" si="87"/>
        <v>15000</v>
      </c>
      <c r="AI56" s="15">
        <f t="shared" si="88"/>
        <v>3000</v>
      </c>
      <c r="AJ56" s="15">
        <f t="shared" si="89"/>
        <v>10200</v>
      </c>
      <c r="AK56" s="49"/>
      <c r="AL56" s="15">
        <f t="shared" si="90"/>
        <v>960</v>
      </c>
      <c r="AM56" s="49"/>
      <c r="AN56" s="15">
        <f t="shared" si="91"/>
        <v>600</v>
      </c>
      <c r="AO56" s="49"/>
      <c r="AP56" s="15">
        <f t="shared" si="92"/>
        <v>240</v>
      </c>
      <c r="AQ56" s="316"/>
    </row>
    <row r="57" spans="1:43">
      <c r="A57" s="280" t="str">
        <f>'18年合同登记表'!F41</f>
        <v>公益西桥华联</v>
      </c>
      <c r="B57" s="15" t="str">
        <f>'18年合同登记表'!I41</f>
        <v>离心机维保合同</v>
      </c>
      <c r="C57" s="281" t="str">
        <f>'18年合同登记表'!L41</f>
        <v>陈勇/</v>
      </c>
      <c r="D57" s="281">
        <f>'18年合同登记表'!M41</f>
        <v>97986</v>
      </c>
      <c r="E57" s="282"/>
      <c r="F57" s="3"/>
      <c r="G57" s="3"/>
      <c r="H57" s="3"/>
      <c r="I57" s="3"/>
      <c r="J57" s="3"/>
      <c r="K57" s="15">
        <f t="shared" si="77"/>
        <v>97986</v>
      </c>
      <c r="L57" s="289">
        <f t="shared" si="73"/>
        <v>1</v>
      </c>
      <c r="M57" s="282"/>
      <c r="N57" s="3"/>
      <c r="O57" s="3"/>
      <c r="P57" s="3"/>
      <c r="Q57" s="3"/>
      <c r="R57" s="3"/>
      <c r="S57" s="3"/>
      <c r="T57" s="3"/>
      <c r="U57" s="3">
        <v>0</v>
      </c>
      <c r="V57" s="3">
        <f>'18年合同登记表'!Q49</f>
        <v>95000</v>
      </c>
      <c r="W57" s="297">
        <f>'18年合同登记表'!R49</f>
        <v>1</v>
      </c>
      <c r="X57" s="15">
        <f t="shared" si="78"/>
        <v>97986</v>
      </c>
      <c r="Y57" s="289">
        <f t="shared" si="75"/>
        <v>1</v>
      </c>
      <c r="Z57" s="280">
        <f t="shared" si="79"/>
        <v>83288.1</v>
      </c>
      <c r="AA57" s="15">
        <f t="shared" si="80"/>
        <v>14697.9</v>
      </c>
      <c r="AB57" s="15">
        <f t="shared" si="81"/>
        <v>2939.58</v>
      </c>
      <c r="AC57" s="15">
        <f t="shared" si="82"/>
        <v>9994.572</v>
      </c>
      <c r="AD57" s="15">
        <f t="shared" si="83"/>
        <v>940.6656</v>
      </c>
      <c r="AE57" s="15">
        <f t="shared" si="84"/>
        <v>587.916</v>
      </c>
      <c r="AF57" s="281">
        <f t="shared" si="85"/>
        <v>235.1664</v>
      </c>
      <c r="AG57" s="280">
        <f t="shared" si="86"/>
        <v>83288.1</v>
      </c>
      <c r="AH57" s="15">
        <f t="shared" si="87"/>
        <v>14697.9</v>
      </c>
      <c r="AI57" s="15">
        <f t="shared" si="88"/>
        <v>2939.58</v>
      </c>
      <c r="AJ57" s="15">
        <f t="shared" si="89"/>
        <v>9994.572</v>
      </c>
      <c r="AK57" s="49"/>
      <c r="AL57" s="15">
        <f t="shared" si="90"/>
        <v>940.6656</v>
      </c>
      <c r="AM57" s="49"/>
      <c r="AN57" s="15">
        <f t="shared" si="91"/>
        <v>587.916</v>
      </c>
      <c r="AO57" s="49"/>
      <c r="AP57" s="15">
        <f t="shared" si="92"/>
        <v>235.1664</v>
      </c>
      <c r="AQ57" s="316"/>
    </row>
    <row r="58" spans="1:43">
      <c r="A58" s="280" t="str">
        <f>'18年合同登记表'!F50</f>
        <v>西安沃尔玛</v>
      </c>
      <c r="B58" s="15" t="str">
        <f>'18年合同登记表'!I50</f>
        <v>1#直燃机大修</v>
      </c>
      <c r="C58" s="281" t="str">
        <f>'18年合同登记表'!L50</f>
        <v>卢强</v>
      </c>
      <c r="D58" s="281">
        <f>'18年合同登记表'!M50</f>
        <v>126000</v>
      </c>
      <c r="E58" s="282"/>
      <c r="F58" s="3"/>
      <c r="G58" s="3"/>
      <c r="H58" s="3"/>
      <c r="I58" s="3"/>
      <c r="J58" s="3"/>
      <c r="K58" s="15">
        <f t="shared" si="77"/>
        <v>126000</v>
      </c>
      <c r="L58" s="289">
        <f t="shared" si="73"/>
        <v>1</v>
      </c>
      <c r="M58" s="282"/>
      <c r="N58" s="3"/>
      <c r="O58" s="3"/>
      <c r="P58" s="3"/>
      <c r="Q58" s="3"/>
      <c r="R58" s="3"/>
      <c r="S58" s="3"/>
      <c r="T58" s="3"/>
      <c r="U58" s="3">
        <v>0</v>
      </c>
      <c r="V58" s="3">
        <f>'18年合同登记表'!Q50</f>
        <v>119700</v>
      </c>
      <c r="W58" s="297">
        <f>'18年合同登记表'!R50</f>
        <v>0.95</v>
      </c>
      <c r="X58" s="15">
        <f t="shared" si="78"/>
        <v>126000</v>
      </c>
      <c r="Y58" s="289">
        <f t="shared" si="75"/>
        <v>1</v>
      </c>
      <c r="Z58" s="280">
        <f t="shared" si="79"/>
        <v>107100</v>
      </c>
      <c r="AA58" s="15">
        <f t="shared" si="80"/>
        <v>18900</v>
      </c>
      <c r="AB58" s="15">
        <f t="shared" si="81"/>
        <v>3780</v>
      </c>
      <c r="AC58" s="15">
        <f t="shared" si="82"/>
        <v>12852</v>
      </c>
      <c r="AD58" s="15">
        <f t="shared" si="83"/>
        <v>1209.6</v>
      </c>
      <c r="AE58" s="15">
        <f t="shared" si="84"/>
        <v>756</v>
      </c>
      <c r="AF58" s="281">
        <f t="shared" si="85"/>
        <v>302.4</v>
      </c>
      <c r="AG58" s="280">
        <f t="shared" si="86"/>
        <v>107100</v>
      </c>
      <c r="AH58" s="15">
        <f t="shared" si="87"/>
        <v>18900</v>
      </c>
      <c r="AI58" s="15">
        <f t="shared" si="88"/>
        <v>3591</v>
      </c>
      <c r="AJ58" s="15">
        <f t="shared" si="89"/>
        <v>12209.4</v>
      </c>
      <c r="AK58" s="49"/>
      <c r="AL58" s="15">
        <f t="shared" si="90"/>
        <v>1149.12</v>
      </c>
      <c r="AM58" s="49"/>
      <c r="AN58" s="15">
        <f t="shared" si="91"/>
        <v>718.2</v>
      </c>
      <c r="AO58" s="49"/>
      <c r="AP58" s="15">
        <f t="shared" si="92"/>
        <v>287.28</v>
      </c>
      <c r="AQ58" s="316"/>
    </row>
    <row r="59" spans="1:43">
      <c r="A59" s="280" t="e">
        <f>'18年合同登记表'!#REF!</f>
        <v>#REF!</v>
      </c>
      <c r="B59" s="15" t="e">
        <f>'18年合同登记表'!#REF!</f>
        <v>#REF!</v>
      </c>
      <c r="C59" s="281" t="e">
        <f>'18年合同登记表'!#REF!</f>
        <v>#REF!</v>
      </c>
      <c r="D59" s="281" t="e">
        <f>'18年合同登记表'!#REF!</f>
        <v>#REF!</v>
      </c>
      <c r="E59" s="282"/>
      <c r="F59" s="3"/>
      <c r="G59" s="3"/>
      <c r="H59" s="3"/>
      <c r="I59" s="3"/>
      <c r="J59" s="3"/>
      <c r="K59" s="15" t="e">
        <f t="shared" si="77"/>
        <v>#REF!</v>
      </c>
      <c r="L59" s="289" t="e">
        <f t="shared" si="73"/>
        <v>#REF!</v>
      </c>
      <c r="M59" s="282"/>
      <c r="N59" s="3"/>
      <c r="O59" s="3"/>
      <c r="P59" s="3"/>
      <c r="Q59" s="3"/>
      <c r="R59" s="3"/>
      <c r="S59" s="3"/>
      <c r="T59" s="3"/>
      <c r="U59" s="3">
        <v>0</v>
      </c>
      <c r="V59" s="3">
        <f>'18年合同登记表'!Q51</f>
        <v>35000</v>
      </c>
      <c r="W59" s="297">
        <f>'18年合同登记表'!R51</f>
        <v>1</v>
      </c>
      <c r="X59" s="15" t="e">
        <f t="shared" si="78"/>
        <v>#REF!</v>
      </c>
      <c r="Y59" s="289" t="e">
        <f t="shared" si="75"/>
        <v>#REF!</v>
      </c>
      <c r="Z59" s="280" t="e">
        <f t="shared" si="79"/>
        <v>#REF!</v>
      </c>
      <c r="AA59" s="15" t="e">
        <f t="shared" si="80"/>
        <v>#REF!</v>
      </c>
      <c r="AB59" s="15" t="e">
        <f t="shared" si="81"/>
        <v>#REF!</v>
      </c>
      <c r="AC59" s="15" t="e">
        <f t="shared" si="82"/>
        <v>#REF!</v>
      </c>
      <c r="AD59" s="15" t="e">
        <f t="shared" si="83"/>
        <v>#REF!</v>
      </c>
      <c r="AE59" s="15" t="e">
        <f t="shared" si="84"/>
        <v>#REF!</v>
      </c>
      <c r="AF59" s="281" t="e">
        <f t="shared" si="85"/>
        <v>#REF!</v>
      </c>
      <c r="AG59" s="280" t="e">
        <f t="shared" si="86"/>
        <v>#REF!</v>
      </c>
      <c r="AH59" s="15" t="e">
        <f t="shared" si="87"/>
        <v>#REF!</v>
      </c>
      <c r="AI59" s="15" t="e">
        <f t="shared" si="88"/>
        <v>#REF!</v>
      </c>
      <c r="AJ59" s="15" t="e">
        <f t="shared" si="89"/>
        <v>#REF!</v>
      </c>
      <c r="AK59" s="49"/>
      <c r="AL59" s="15" t="e">
        <f t="shared" si="90"/>
        <v>#REF!</v>
      </c>
      <c r="AM59" s="49"/>
      <c r="AN59" s="15" t="e">
        <f t="shared" si="91"/>
        <v>#REF!</v>
      </c>
      <c r="AO59" s="49"/>
      <c r="AP59" s="15" t="e">
        <f t="shared" si="92"/>
        <v>#REF!</v>
      </c>
      <c r="AQ59" s="316"/>
    </row>
    <row r="60" spans="1:43">
      <c r="A60" s="280" t="e">
        <f>'18年合同登记表'!#REF!</f>
        <v>#REF!</v>
      </c>
      <c r="B60" s="15" t="e">
        <f>'18年合同登记表'!#REF!</f>
        <v>#REF!</v>
      </c>
      <c r="C60" s="281" t="e">
        <f>'18年合同登记表'!#REF!</f>
        <v>#REF!</v>
      </c>
      <c r="D60" s="281" t="e">
        <f>'18年合同登记表'!#REF!</f>
        <v>#REF!</v>
      </c>
      <c r="E60" s="282"/>
      <c r="F60" s="3"/>
      <c r="G60" s="3"/>
      <c r="H60" s="3"/>
      <c r="I60" s="3"/>
      <c r="J60" s="3"/>
      <c r="K60" s="15" t="e">
        <f t="shared" si="77"/>
        <v>#REF!</v>
      </c>
      <c r="L60" s="289" t="e">
        <f t="shared" si="73"/>
        <v>#REF!</v>
      </c>
      <c r="M60" s="282"/>
      <c r="N60" s="3"/>
      <c r="O60" s="3"/>
      <c r="P60" s="3"/>
      <c r="Q60" s="3"/>
      <c r="R60" s="3"/>
      <c r="S60" s="3"/>
      <c r="T60" s="3"/>
      <c r="U60" s="3">
        <v>0</v>
      </c>
      <c r="V60" s="3" t="e">
        <f>'18年合同登记表'!#REF!</f>
        <v>#REF!</v>
      </c>
      <c r="W60" s="297" t="e">
        <f>'18年合同登记表'!#REF!</f>
        <v>#REF!</v>
      </c>
      <c r="X60" s="15" t="e">
        <f t="shared" si="78"/>
        <v>#REF!</v>
      </c>
      <c r="Y60" s="289" t="e">
        <f t="shared" si="75"/>
        <v>#REF!</v>
      </c>
      <c r="Z60" s="280" t="e">
        <f t="shared" si="79"/>
        <v>#REF!</v>
      </c>
      <c r="AA60" s="15" t="e">
        <f t="shared" si="80"/>
        <v>#REF!</v>
      </c>
      <c r="AB60" s="15" t="e">
        <f t="shared" si="81"/>
        <v>#REF!</v>
      </c>
      <c r="AC60" s="15" t="e">
        <f t="shared" si="82"/>
        <v>#REF!</v>
      </c>
      <c r="AD60" s="15" t="e">
        <f t="shared" si="83"/>
        <v>#REF!</v>
      </c>
      <c r="AE60" s="15" t="e">
        <f t="shared" si="84"/>
        <v>#REF!</v>
      </c>
      <c r="AF60" s="281" t="e">
        <f t="shared" si="85"/>
        <v>#REF!</v>
      </c>
      <c r="AG60" s="280" t="e">
        <f t="shared" si="86"/>
        <v>#REF!</v>
      </c>
      <c r="AH60" s="15" t="e">
        <f t="shared" si="87"/>
        <v>#REF!</v>
      </c>
      <c r="AI60" s="15" t="e">
        <f t="shared" si="88"/>
        <v>#REF!</v>
      </c>
      <c r="AJ60" s="15" t="e">
        <f t="shared" si="89"/>
        <v>#REF!</v>
      </c>
      <c r="AK60" s="49"/>
      <c r="AL60" s="15" t="e">
        <f t="shared" si="90"/>
        <v>#REF!</v>
      </c>
      <c r="AM60" s="49"/>
      <c r="AN60" s="15" t="e">
        <f t="shared" si="91"/>
        <v>#REF!</v>
      </c>
      <c r="AO60" s="49"/>
      <c r="AP60" s="15" t="e">
        <f t="shared" si="92"/>
        <v>#REF!</v>
      </c>
      <c r="AQ60" s="316"/>
    </row>
    <row r="61" spans="1:43">
      <c r="A61" s="280" t="e">
        <f>'18年合同登记表'!#REF!</f>
        <v>#REF!</v>
      </c>
      <c r="B61" s="15" t="e">
        <f>'18年合同登记表'!#REF!</f>
        <v>#REF!</v>
      </c>
      <c r="C61" s="281" t="e">
        <f>'18年合同登记表'!#REF!</f>
        <v>#REF!</v>
      </c>
      <c r="D61" s="281" t="e">
        <f>'18年合同登记表'!#REF!</f>
        <v>#REF!</v>
      </c>
      <c r="E61" s="282"/>
      <c r="F61" s="3"/>
      <c r="G61" s="3"/>
      <c r="H61" s="3"/>
      <c r="I61" s="3"/>
      <c r="J61" s="3"/>
      <c r="K61" s="15" t="e">
        <f t="shared" si="77"/>
        <v>#REF!</v>
      </c>
      <c r="L61" s="289" t="e">
        <f t="shared" si="73"/>
        <v>#REF!</v>
      </c>
      <c r="M61" s="282"/>
      <c r="N61" s="3"/>
      <c r="O61" s="3"/>
      <c r="P61" s="3"/>
      <c r="Q61" s="3"/>
      <c r="R61" s="3"/>
      <c r="S61" s="3"/>
      <c r="T61" s="3"/>
      <c r="U61" s="3">
        <v>0</v>
      </c>
      <c r="V61" s="3" t="e">
        <f>'18年合同登记表'!#REF!</f>
        <v>#REF!</v>
      </c>
      <c r="W61" s="297" t="e">
        <f>'18年合同登记表'!#REF!</f>
        <v>#REF!</v>
      </c>
      <c r="X61" s="15" t="e">
        <f t="shared" si="78"/>
        <v>#REF!</v>
      </c>
      <c r="Y61" s="289" t="e">
        <f t="shared" si="75"/>
        <v>#REF!</v>
      </c>
      <c r="Z61" s="280" t="e">
        <f t="shared" si="79"/>
        <v>#REF!</v>
      </c>
      <c r="AA61" s="15" t="e">
        <f t="shared" si="80"/>
        <v>#REF!</v>
      </c>
      <c r="AB61" s="15" t="e">
        <f t="shared" si="81"/>
        <v>#REF!</v>
      </c>
      <c r="AC61" s="15" t="e">
        <f t="shared" si="82"/>
        <v>#REF!</v>
      </c>
      <c r="AD61" s="15" t="e">
        <f t="shared" si="83"/>
        <v>#REF!</v>
      </c>
      <c r="AE61" s="15" t="e">
        <f t="shared" si="84"/>
        <v>#REF!</v>
      </c>
      <c r="AF61" s="281" t="e">
        <f t="shared" si="85"/>
        <v>#REF!</v>
      </c>
      <c r="AG61" s="280" t="e">
        <f t="shared" si="86"/>
        <v>#REF!</v>
      </c>
      <c r="AH61" s="15" t="e">
        <f t="shared" si="87"/>
        <v>#REF!</v>
      </c>
      <c r="AI61" s="15" t="e">
        <f t="shared" si="88"/>
        <v>#REF!</v>
      </c>
      <c r="AJ61" s="15" t="e">
        <f t="shared" si="89"/>
        <v>#REF!</v>
      </c>
      <c r="AK61" s="49"/>
      <c r="AL61" s="15" t="e">
        <f t="shared" si="90"/>
        <v>#REF!</v>
      </c>
      <c r="AM61" s="49"/>
      <c r="AN61" s="15" t="e">
        <f t="shared" si="91"/>
        <v>#REF!</v>
      </c>
      <c r="AO61" s="49"/>
      <c r="AP61" s="15" t="e">
        <f t="shared" si="92"/>
        <v>#REF!</v>
      </c>
      <c r="AQ61" s="316"/>
    </row>
    <row r="62" spans="1:43">
      <c r="A62" s="285" t="s">
        <v>39</v>
      </c>
      <c r="B62" s="13"/>
      <c r="C62" s="286"/>
      <c r="D62" s="286">
        <f>'18年合同登记表'!M60</f>
        <v>655809</v>
      </c>
      <c r="E62" s="13">
        <f t="shared" ref="E62" si="181">SUM(E54:E61)</f>
        <v>1150</v>
      </c>
      <c r="F62" s="13">
        <f t="shared" ref="F62" si="182">SUM(F54:F61)</f>
        <v>55450</v>
      </c>
      <c r="G62" s="13">
        <f t="shared" ref="G62" si="183">SUM(G54:G61)</f>
        <v>13406</v>
      </c>
      <c r="H62" s="13">
        <f t="shared" ref="H62" si="184">SUM(H54:H61)</f>
        <v>19875</v>
      </c>
      <c r="I62" s="13">
        <f t="shared" ref="I62" si="185">SUM(I54:I61)</f>
        <v>5750</v>
      </c>
      <c r="J62" s="13">
        <f t="shared" ref="J62:K62" si="186">SUM(J54:J61)</f>
        <v>1150</v>
      </c>
      <c r="K62" s="13" t="e">
        <f t="shared" si="186"/>
        <v>#REF!</v>
      </c>
      <c r="L62" s="290" t="e">
        <f t="shared" si="73"/>
        <v>#REF!</v>
      </c>
      <c r="M62" s="13">
        <f t="shared" ref="M62" si="187">SUM(M54:M61)</f>
        <v>0</v>
      </c>
      <c r="N62" s="13">
        <f t="shared" ref="N62" si="188">SUM(N54:N61)</f>
        <v>0</v>
      </c>
      <c r="O62" s="13">
        <f t="shared" ref="O62" si="189">SUM(O54:O61)</f>
        <v>0</v>
      </c>
      <c r="P62" s="13">
        <f t="shared" ref="P62" si="190">SUM(P54:P61)</f>
        <v>0</v>
      </c>
      <c r="Q62" s="13">
        <f t="shared" ref="Q62" si="191">SUM(Q54:Q61)</f>
        <v>0</v>
      </c>
      <c r="R62" s="13">
        <f t="shared" ref="R62" si="192">SUM(R54:R61)</f>
        <v>0</v>
      </c>
      <c r="S62" s="13">
        <f t="shared" ref="S62" si="193">SUM(S54:S61)</f>
        <v>0</v>
      </c>
      <c r="T62" s="13">
        <f t="shared" ref="T62" si="194">SUM(T54:T61)</f>
        <v>0</v>
      </c>
      <c r="U62" s="13">
        <f t="shared" ref="U62:V62" si="195">SUM(U54:U61)</f>
        <v>0</v>
      </c>
      <c r="V62" s="13" t="e">
        <f t="shared" si="195"/>
        <v>#REF!</v>
      </c>
      <c r="W62" s="298">
        <f>'18年合同登记表'!R60</f>
        <v>1.00028971850036</v>
      </c>
      <c r="X62" s="13" t="e">
        <f>SUM(X54:X61)</f>
        <v>#REF!</v>
      </c>
      <c r="Y62" s="290" t="e">
        <f t="shared" si="75"/>
        <v>#REF!</v>
      </c>
      <c r="Z62" s="13" t="e">
        <f t="shared" ref="Z62" si="196">SUM(Z54:Z61)</f>
        <v>#REF!</v>
      </c>
      <c r="AA62" s="13" t="e">
        <f t="shared" ref="AA62" si="197">SUM(AA54:AA61)</f>
        <v>#REF!</v>
      </c>
      <c r="AB62" s="13" t="e">
        <f t="shared" ref="AB62" si="198">SUM(AB54:AB61)</f>
        <v>#REF!</v>
      </c>
      <c r="AC62" s="13" t="e">
        <f t="shared" ref="AC62" si="199">SUM(AC54:AC61)</f>
        <v>#REF!</v>
      </c>
      <c r="AD62" s="13" t="e">
        <f t="shared" ref="AD62" si="200">SUM(AD54:AD61)</f>
        <v>#REF!</v>
      </c>
      <c r="AE62" s="13" t="e">
        <f t="shared" ref="AE62" si="201">SUM(AE54:AE61)</f>
        <v>#REF!</v>
      </c>
      <c r="AF62" s="13" t="e">
        <f t="shared" ref="AF62" si="202">SUM(AF54:AF61)</f>
        <v>#REF!</v>
      </c>
      <c r="AG62" s="13" t="e">
        <f t="shared" ref="AG62" si="203">SUM(AG54:AG61)</f>
        <v>#REF!</v>
      </c>
      <c r="AH62" s="13" t="e">
        <f t="shared" ref="AH62" si="204">SUM(AH54:AH61)</f>
        <v>#REF!</v>
      </c>
      <c r="AI62" s="13" t="e">
        <f t="shared" ref="AI62" si="205">SUM(AI54:AI61)</f>
        <v>#REF!</v>
      </c>
      <c r="AJ62" s="13" t="e">
        <f t="shared" ref="AJ62" si="206">SUM(AJ54:AJ61)</f>
        <v>#REF!</v>
      </c>
      <c r="AK62" s="13">
        <f t="shared" ref="AK62" si="207">SUM(AK54:AK61)</f>
        <v>0</v>
      </c>
      <c r="AL62" s="13" t="e">
        <f t="shared" ref="AL62" si="208">SUM(AL54:AL61)</f>
        <v>#REF!</v>
      </c>
      <c r="AM62" s="13">
        <f t="shared" ref="AM62" si="209">SUM(AM54:AM61)</f>
        <v>0</v>
      </c>
      <c r="AN62" s="13" t="e">
        <f t="shared" ref="AN62" si="210">SUM(AN54:AN61)</f>
        <v>#REF!</v>
      </c>
      <c r="AO62" s="13">
        <f t="shared" ref="AO62" si="211">SUM(AO54:AO61)</f>
        <v>0</v>
      </c>
      <c r="AP62" s="13" t="e">
        <f t="shared" ref="AP62" si="212">SUM(AP54:AP61)</f>
        <v>#REF!</v>
      </c>
      <c r="AQ62" s="13">
        <f t="shared" ref="AQ62" si="213">SUM(AQ54:AQ61)</f>
        <v>0</v>
      </c>
    </row>
    <row r="63" spans="1:43">
      <c r="A63" s="285" t="s">
        <v>40</v>
      </c>
      <c r="B63" s="13"/>
      <c r="C63" s="286"/>
      <c r="D63" s="286">
        <f>'18年合同登记表'!M61</f>
        <v>4150189.58</v>
      </c>
      <c r="E63" s="13">
        <f t="shared" ref="E63" si="214">E53+E62</f>
        <v>97470</v>
      </c>
      <c r="F63" s="13">
        <f t="shared" ref="F63" si="215">F53+F62</f>
        <v>509816</v>
      </c>
      <c r="G63" s="13">
        <f t="shared" ref="G63" si="216">G53+G62</f>
        <v>130076.3</v>
      </c>
      <c r="H63" s="13">
        <f t="shared" ref="H63" si="217">H53+H62</f>
        <v>134561</v>
      </c>
      <c r="I63" s="13">
        <f t="shared" ref="I63" si="218">I53+I62</f>
        <v>66251</v>
      </c>
      <c r="J63" s="13">
        <f t="shared" ref="J63:K63" si="219">J53+J62</f>
        <v>13577</v>
      </c>
      <c r="K63" s="13" t="e">
        <f t="shared" si="219"/>
        <v>#REF!</v>
      </c>
      <c r="L63" s="290" t="e">
        <f t="shared" si="73"/>
        <v>#REF!</v>
      </c>
      <c r="M63" s="13">
        <f t="shared" ref="M63" si="220">M53+M62</f>
        <v>330</v>
      </c>
      <c r="N63" s="13">
        <f t="shared" ref="N63" si="221">N53+N62</f>
        <v>5495</v>
      </c>
      <c r="O63" s="13">
        <f t="shared" ref="O63" si="222">O53+O62</f>
        <v>2620.2</v>
      </c>
      <c r="P63" s="13">
        <f t="shared" ref="P63" si="223">P53+P62</f>
        <v>5000</v>
      </c>
      <c r="Q63" s="13">
        <f t="shared" ref="Q63" si="224">Q53+Q62</f>
        <v>1650</v>
      </c>
      <c r="R63" s="13">
        <f t="shared" ref="R63" si="225">R53+R62</f>
        <v>330</v>
      </c>
      <c r="S63" s="13">
        <f t="shared" ref="S63" si="226">S53+S62</f>
        <v>0</v>
      </c>
      <c r="T63" s="13">
        <f t="shared" ref="T63" si="227">T53+T62</f>
        <v>0</v>
      </c>
      <c r="U63" s="13">
        <f t="shared" ref="U63:V63" si="228">U53+U62</f>
        <v>0</v>
      </c>
      <c r="V63" s="13" t="e">
        <f t="shared" si="228"/>
        <v>#REF!</v>
      </c>
      <c r="W63" s="298">
        <f>'18年合同登记表'!R61</f>
        <v>0.774402696081175</v>
      </c>
      <c r="X63" s="13" t="e">
        <f>X53+X62</f>
        <v>#REF!</v>
      </c>
      <c r="Y63" s="290" t="e">
        <f t="shared" si="75"/>
        <v>#REF!</v>
      </c>
      <c r="Z63" s="13" t="e">
        <f t="shared" ref="Z63" si="229">Z53+Z62</f>
        <v>#REF!</v>
      </c>
      <c r="AA63" s="13" t="e">
        <f t="shared" ref="AA63" si="230">AA53+AA62</f>
        <v>#REF!</v>
      </c>
      <c r="AB63" s="13" t="e">
        <f t="shared" ref="AB63" si="231">AB53+AB62</f>
        <v>#REF!</v>
      </c>
      <c r="AC63" s="13" t="e">
        <f t="shared" ref="AC63" si="232">AC53+AC62</f>
        <v>#REF!</v>
      </c>
      <c r="AD63" s="13" t="e">
        <f t="shared" ref="AD63" si="233">AD53+AD62</f>
        <v>#REF!</v>
      </c>
      <c r="AE63" s="13" t="e">
        <f t="shared" ref="AE63" si="234">AE53+AE62</f>
        <v>#REF!</v>
      </c>
      <c r="AF63" s="13" t="e">
        <f t="shared" ref="AF63" si="235">AF53+AF62</f>
        <v>#REF!</v>
      </c>
      <c r="AG63" s="13" t="e">
        <f t="shared" ref="AG63" si="236">AG53+AG62</f>
        <v>#REF!</v>
      </c>
      <c r="AH63" s="13" t="e">
        <f t="shared" ref="AH63" si="237">AH53+AH62</f>
        <v>#REF!</v>
      </c>
      <c r="AI63" s="13" t="e">
        <f t="shared" ref="AI63" si="238">AI53+AI62</f>
        <v>#REF!</v>
      </c>
      <c r="AJ63" s="13" t="e">
        <f t="shared" ref="AJ63" si="239">AJ53+AJ62</f>
        <v>#REF!</v>
      </c>
      <c r="AK63" s="13">
        <f t="shared" ref="AK63" si="240">AK53+AK62</f>
        <v>0</v>
      </c>
      <c r="AL63" s="13" t="e">
        <f t="shared" ref="AL63" si="241">AL53+AL62</f>
        <v>#REF!</v>
      </c>
      <c r="AM63" s="13">
        <f t="shared" ref="AM63" si="242">AM53+AM62</f>
        <v>0</v>
      </c>
      <c r="AN63" s="13" t="e">
        <f t="shared" ref="AN63" si="243">AN53+AN62</f>
        <v>#REF!</v>
      </c>
      <c r="AO63" s="13">
        <f t="shared" ref="AO63" si="244">AO53+AO62</f>
        <v>0</v>
      </c>
      <c r="AP63" s="13" t="e">
        <f t="shared" ref="AP63" si="245">AP53+AP62</f>
        <v>#REF!</v>
      </c>
      <c r="AQ63" s="13">
        <f t="shared" ref="AQ63" si="246">AQ53+AQ62</f>
        <v>0</v>
      </c>
    </row>
    <row r="64" spans="1:43">
      <c r="A64" s="280" t="str">
        <f>'18年合同登记表'!F62</f>
        <v>九鼎仰山公园</v>
      </c>
      <c r="B64" s="15" t="str">
        <f>'18年合同登记表'!I62</f>
        <v>直燃机捡漏补漏</v>
      </c>
      <c r="C64" s="281" t="str">
        <f>'18年合同登记表'!L62</f>
        <v>陈勇/</v>
      </c>
      <c r="D64" s="281">
        <f>'18年合同登记表'!M62</f>
        <v>10000</v>
      </c>
      <c r="E64" s="282"/>
      <c r="F64" s="3"/>
      <c r="G64" s="3"/>
      <c r="H64" s="3"/>
      <c r="I64" s="3"/>
      <c r="J64" s="3"/>
      <c r="K64" s="15">
        <f t="shared" si="77"/>
        <v>10000</v>
      </c>
      <c r="L64" s="289">
        <f t="shared" si="73"/>
        <v>1</v>
      </c>
      <c r="M64" s="282"/>
      <c r="N64" s="3"/>
      <c r="O64" s="3"/>
      <c r="P64" s="3"/>
      <c r="Q64" s="3"/>
      <c r="R64" s="3"/>
      <c r="S64" s="3"/>
      <c r="T64" s="3"/>
      <c r="U64" s="3">
        <v>0</v>
      </c>
      <c r="V64" s="3">
        <f>'18年合同登记表'!Q62</f>
        <v>10000</v>
      </c>
      <c r="W64" s="297">
        <f>'18年合同登记表'!R62</f>
        <v>1</v>
      </c>
      <c r="X64" s="15">
        <f t="shared" si="78"/>
        <v>10000</v>
      </c>
      <c r="Y64" s="289">
        <f t="shared" si="75"/>
        <v>1</v>
      </c>
      <c r="Z64" s="280">
        <f t="shared" si="79"/>
        <v>8500</v>
      </c>
      <c r="AA64" s="15">
        <f t="shared" si="80"/>
        <v>1500</v>
      </c>
      <c r="AB64" s="15">
        <f t="shared" si="81"/>
        <v>300</v>
      </c>
      <c r="AC64" s="15">
        <f t="shared" si="82"/>
        <v>1020</v>
      </c>
      <c r="AD64" s="15">
        <f t="shared" si="83"/>
        <v>96</v>
      </c>
      <c r="AE64" s="15">
        <f t="shared" si="84"/>
        <v>60</v>
      </c>
      <c r="AF64" s="281">
        <f t="shared" si="85"/>
        <v>24</v>
      </c>
      <c r="AG64" s="280">
        <f t="shared" si="86"/>
        <v>8500</v>
      </c>
      <c r="AH64" s="15">
        <f t="shared" si="87"/>
        <v>1500</v>
      </c>
      <c r="AI64" s="15">
        <f t="shared" si="88"/>
        <v>300</v>
      </c>
      <c r="AJ64" s="15">
        <f t="shared" si="89"/>
        <v>1020</v>
      </c>
      <c r="AK64" s="49"/>
      <c r="AL64" s="15">
        <f t="shared" si="90"/>
        <v>96</v>
      </c>
      <c r="AM64" s="49"/>
      <c r="AN64" s="15">
        <f t="shared" si="91"/>
        <v>60</v>
      </c>
      <c r="AO64" s="49"/>
      <c r="AP64" s="15">
        <f t="shared" si="92"/>
        <v>24</v>
      </c>
      <c r="AQ64" s="316"/>
    </row>
    <row r="65" spans="1:43">
      <c r="A65" s="280" t="str">
        <f>'18年合同登记表'!F63</f>
        <v>朝阳区规划艺术馆</v>
      </c>
      <c r="B65" s="15" t="str">
        <f>'18年合同登记表'!I63</f>
        <v>空调系统水泵更新合同</v>
      </c>
      <c r="C65" s="281" t="str">
        <f>'18年合同登记表'!L63</f>
        <v>陈勇</v>
      </c>
      <c r="D65" s="281">
        <f>'18年合同登记表'!M63</f>
        <v>252746.55</v>
      </c>
      <c r="E65" s="282"/>
      <c r="F65" s="3"/>
      <c r="G65" s="3"/>
      <c r="H65" s="3"/>
      <c r="I65" s="3"/>
      <c r="J65" s="3"/>
      <c r="K65" s="15">
        <f t="shared" si="77"/>
        <v>252746.55</v>
      </c>
      <c r="L65" s="289">
        <f t="shared" si="73"/>
        <v>1</v>
      </c>
      <c r="M65" s="282"/>
      <c r="N65" s="3"/>
      <c r="O65" s="3"/>
      <c r="P65" s="3"/>
      <c r="Q65" s="3"/>
      <c r="R65" s="3"/>
      <c r="S65" s="3"/>
      <c r="T65" s="3"/>
      <c r="U65" s="3">
        <v>0</v>
      </c>
      <c r="V65" s="3">
        <f>'18年合同登记表'!Q63</f>
        <v>252746.55</v>
      </c>
      <c r="W65" s="297">
        <f>'18年合同登记表'!R63</f>
        <v>1</v>
      </c>
      <c r="X65" s="15">
        <f t="shared" si="78"/>
        <v>252746.55</v>
      </c>
      <c r="Y65" s="289">
        <f t="shared" si="75"/>
        <v>1</v>
      </c>
      <c r="Z65" s="280">
        <f t="shared" si="79"/>
        <v>214834.5675</v>
      </c>
      <c r="AA65" s="15">
        <f t="shared" si="80"/>
        <v>37911.9825</v>
      </c>
      <c r="AB65" s="15">
        <f t="shared" si="81"/>
        <v>7582.3965</v>
      </c>
      <c r="AC65" s="15">
        <f t="shared" si="82"/>
        <v>25780.1481</v>
      </c>
      <c r="AD65" s="15">
        <f t="shared" si="83"/>
        <v>2426.36688</v>
      </c>
      <c r="AE65" s="15">
        <f t="shared" si="84"/>
        <v>1516.4793</v>
      </c>
      <c r="AF65" s="281">
        <f t="shared" si="85"/>
        <v>606.59172</v>
      </c>
      <c r="AG65" s="280">
        <f t="shared" si="86"/>
        <v>214834.5675</v>
      </c>
      <c r="AH65" s="15">
        <f t="shared" si="87"/>
        <v>37911.9825</v>
      </c>
      <c r="AI65" s="15">
        <f t="shared" si="88"/>
        <v>7582.3965</v>
      </c>
      <c r="AJ65" s="15">
        <f t="shared" si="89"/>
        <v>25780.1481</v>
      </c>
      <c r="AK65" s="49"/>
      <c r="AL65" s="15">
        <f t="shared" si="90"/>
        <v>2426.36688</v>
      </c>
      <c r="AM65" s="49"/>
      <c r="AN65" s="15">
        <f t="shared" si="91"/>
        <v>1516.4793</v>
      </c>
      <c r="AO65" s="49"/>
      <c r="AP65" s="15">
        <f t="shared" si="92"/>
        <v>606.59172</v>
      </c>
      <c r="AQ65" s="316"/>
    </row>
    <row r="66" spans="1:43">
      <c r="A66" s="280" t="str">
        <f>'18年合同登记表'!F64</f>
        <v>中牧实业</v>
      </c>
      <c r="B66" s="15" t="str">
        <f>'18年合同登记表'!I64</f>
        <v>空调维保托管协议</v>
      </c>
      <c r="C66" s="281" t="str">
        <f>'18年合同登记表'!L64</f>
        <v>陈勇</v>
      </c>
      <c r="D66" s="281">
        <f>'18年合同登记表'!M64</f>
        <v>88934</v>
      </c>
      <c r="E66" s="282"/>
      <c r="F66" s="3"/>
      <c r="G66" s="3"/>
      <c r="H66" s="3"/>
      <c r="I66" s="3"/>
      <c r="J66" s="3"/>
      <c r="K66" s="15">
        <f t="shared" si="77"/>
        <v>88934</v>
      </c>
      <c r="L66" s="289">
        <f t="shared" si="73"/>
        <v>1</v>
      </c>
      <c r="M66" s="282"/>
      <c r="N66" s="3"/>
      <c r="O66" s="3"/>
      <c r="P66" s="3"/>
      <c r="Q66" s="3"/>
      <c r="R66" s="3"/>
      <c r="S66" s="3"/>
      <c r="T66" s="3"/>
      <c r="U66" s="3">
        <v>0</v>
      </c>
      <c r="V66" s="3">
        <f>'18年合同登记表'!Q64</f>
        <v>88934</v>
      </c>
      <c r="W66" s="297">
        <f>'18年合同登记表'!R64</f>
        <v>1</v>
      </c>
      <c r="X66" s="15">
        <f t="shared" si="78"/>
        <v>88934</v>
      </c>
      <c r="Y66" s="289">
        <f t="shared" si="75"/>
        <v>1</v>
      </c>
      <c r="Z66" s="280">
        <f t="shared" si="79"/>
        <v>75593.9</v>
      </c>
      <c r="AA66" s="15">
        <f t="shared" si="80"/>
        <v>13340.1</v>
      </c>
      <c r="AB66" s="15">
        <f t="shared" si="81"/>
        <v>2668.02</v>
      </c>
      <c r="AC66" s="15">
        <f t="shared" si="82"/>
        <v>9071.268</v>
      </c>
      <c r="AD66" s="15">
        <f t="shared" si="83"/>
        <v>853.7664</v>
      </c>
      <c r="AE66" s="15">
        <f t="shared" si="84"/>
        <v>533.604</v>
      </c>
      <c r="AF66" s="281">
        <f t="shared" si="85"/>
        <v>213.4416</v>
      </c>
      <c r="AG66" s="280">
        <f t="shared" si="86"/>
        <v>75593.9</v>
      </c>
      <c r="AH66" s="15">
        <f t="shared" si="87"/>
        <v>13340.1</v>
      </c>
      <c r="AI66" s="15">
        <f t="shared" si="88"/>
        <v>2668.02</v>
      </c>
      <c r="AJ66" s="15">
        <f t="shared" si="89"/>
        <v>9071.268</v>
      </c>
      <c r="AK66" s="49"/>
      <c r="AL66" s="15">
        <f t="shared" si="90"/>
        <v>853.7664</v>
      </c>
      <c r="AM66" s="49"/>
      <c r="AN66" s="15">
        <f t="shared" si="91"/>
        <v>533.604</v>
      </c>
      <c r="AO66" s="49"/>
      <c r="AP66" s="15">
        <f t="shared" si="92"/>
        <v>213.4416</v>
      </c>
      <c r="AQ66" s="316"/>
    </row>
    <row r="67" spans="1:43">
      <c r="A67" s="280" t="str">
        <f>'18年合同登记表'!F65</f>
        <v>和乔丽晶</v>
      </c>
      <c r="B67" s="15" t="str">
        <f>'18年合同登记表'!I65</f>
        <v>直燃机年度维保合同</v>
      </c>
      <c r="C67" s="281" t="str">
        <f>'18年合同登记表'!L65</f>
        <v>陈勇</v>
      </c>
      <c r="D67" s="281">
        <f>'18年合同登记表'!M65</f>
        <v>20000</v>
      </c>
      <c r="E67" s="282"/>
      <c r="F67" s="3"/>
      <c r="G67" s="3"/>
      <c r="H67" s="3"/>
      <c r="I67" s="3"/>
      <c r="J67" s="3"/>
      <c r="K67" s="15">
        <f t="shared" si="77"/>
        <v>20000</v>
      </c>
      <c r="L67" s="289">
        <f t="shared" si="73"/>
        <v>1</v>
      </c>
      <c r="M67" s="282"/>
      <c r="N67" s="3"/>
      <c r="O67" s="3"/>
      <c r="P67" s="3"/>
      <c r="Q67" s="3"/>
      <c r="R67" s="3"/>
      <c r="S67" s="3"/>
      <c r="T67" s="3"/>
      <c r="U67" s="3">
        <v>0</v>
      </c>
      <c r="V67" s="3">
        <f>'18年合同登记表'!Q65</f>
        <v>16000</v>
      </c>
      <c r="W67" s="297">
        <f>'18年合同登记表'!R65</f>
        <v>0.8</v>
      </c>
      <c r="X67" s="15">
        <f t="shared" si="78"/>
        <v>20000</v>
      </c>
      <c r="Y67" s="289">
        <f t="shared" si="75"/>
        <v>1</v>
      </c>
      <c r="Z67" s="280">
        <f t="shared" si="79"/>
        <v>17000</v>
      </c>
      <c r="AA67" s="15">
        <f t="shared" si="80"/>
        <v>3000</v>
      </c>
      <c r="AB67" s="15">
        <f t="shared" si="81"/>
        <v>600</v>
      </c>
      <c r="AC67" s="15">
        <f t="shared" si="82"/>
        <v>2040</v>
      </c>
      <c r="AD67" s="15">
        <f t="shared" si="83"/>
        <v>192</v>
      </c>
      <c r="AE67" s="15">
        <f t="shared" si="84"/>
        <v>120</v>
      </c>
      <c r="AF67" s="281">
        <f t="shared" si="85"/>
        <v>48</v>
      </c>
      <c r="AG67" s="280">
        <f t="shared" si="86"/>
        <v>17000</v>
      </c>
      <c r="AH67" s="15">
        <f t="shared" si="87"/>
        <v>3000</v>
      </c>
      <c r="AI67" s="15">
        <f t="shared" si="88"/>
        <v>480</v>
      </c>
      <c r="AJ67" s="15">
        <f t="shared" si="89"/>
        <v>1632</v>
      </c>
      <c r="AK67" s="49"/>
      <c r="AL67" s="15">
        <f t="shared" si="90"/>
        <v>153.6</v>
      </c>
      <c r="AM67" s="49"/>
      <c r="AN67" s="15">
        <f t="shared" si="91"/>
        <v>96</v>
      </c>
      <c r="AO67" s="49"/>
      <c r="AP67" s="15">
        <f t="shared" si="92"/>
        <v>38.4</v>
      </c>
      <c r="AQ67" s="316"/>
    </row>
    <row r="68" spans="1:43">
      <c r="A68" s="280" t="str">
        <f>'18年合同登记表'!F66</f>
        <v>文化都汇</v>
      </c>
      <c r="B68" s="15" t="str">
        <f>'18年合同登记表'!I66</f>
        <v>制冷机年度维保</v>
      </c>
      <c r="C68" s="281" t="str">
        <f>'18年合同登记表'!L66</f>
        <v>卢强</v>
      </c>
      <c r="D68" s="281">
        <f>'18年合同登记表'!M66</f>
        <v>105000</v>
      </c>
      <c r="E68" s="282"/>
      <c r="F68" s="3"/>
      <c r="G68" s="3"/>
      <c r="H68" s="3"/>
      <c r="I68" s="3"/>
      <c r="J68" s="3"/>
      <c r="K68" s="15">
        <f t="shared" si="77"/>
        <v>105000</v>
      </c>
      <c r="L68" s="289">
        <f t="shared" si="73"/>
        <v>1</v>
      </c>
      <c r="M68" s="282"/>
      <c r="N68" s="3"/>
      <c r="O68" s="3"/>
      <c r="P68" s="3"/>
      <c r="Q68" s="3"/>
      <c r="R68" s="3"/>
      <c r="S68" s="3"/>
      <c r="T68" s="3"/>
      <c r="U68" s="3">
        <v>0</v>
      </c>
      <c r="V68" s="3">
        <f>'18年合同登记表'!Q66</f>
        <v>105000</v>
      </c>
      <c r="W68" s="297">
        <f>'18年合同登记表'!R66</f>
        <v>1</v>
      </c>
      <c r="X68" s="15">
        <f t="shared" si="78"/>
        <v>105000</v>
      </c>
      <c r="Y68" s="289">
        <f t="shared" si="75"/>
        <v>1</v>
      </c>
      <c r="Z68" s="280">
        <f t="shared" si="79"/>
        <v>89250</v>
      </c>
      <c r="AA68" s="15">
        <f t="shared" si="80"/>
        <v>15750</v>
      </c>
      <c r="AB68" s="15">
        <f t="shared" si="81"/>
        <v>3150</v>
      </c>
      <c r="AC68" s="15">
        <f t="shared" si="82"/>
        <v>10710</v>
      </c>
      <c r="AD68" s="15">
        <f t="shared" si="83"/>
        <v>1008</v>
      </c>
      <c r="AE68" s="15">
        <f t="shared" si="84"/>
        <v>630</v>
      </c>
      <c r="AF68" s="281">
        <f t="shared" si="85"/>
        <v>252</v>
      </c>
      <c r="AG68" s="280">
        <f t="shared" si="86"/>
        <v>89250</v>
      </c>
      <c r="AH68" s="15">
        <f t="shared" si="87"/>
        <v>15750</v>
      </c>
      <c r="AI68" s="15">
        <f t="shared" si="88"/>
        <v>3150</v>
      </c>
      <c r="AJ68" s="15">
        <f t="shared" si="89"/>
        <v>10710</v>
      </c>
      <c r="AK68" s="49"/>
      <c r="AL68" s="15">
        <f t="shared" si="90"/>
        <v>1008</v>
      </c>
      <c r="AM68" s="49"/>
      <c r="AN68" s="15">
        <f t="shared" si="91"/>
        <v>630</v>
      </c>
      <c r="AO68" s="49"/>
      <c r="AP68" s="15">
        <f t="shared" si="92"/>
        <v>252</v>
      </c>
      <c r="AQ68" s="316"/>
    </row>
    <row r="69" spans="1:43">
      <c r="A69" s="280" t="str">
        <f>'18年合同登记表'!F67</f>
        <v>京东方</v>
      </c>
      <c r="B69" s="15" t="str">
        <f>'18年合同登记表'!I67</f>
        <v>溴化锂制冷机维保合同</v>
      </c>
      <c r="C69" s="281" t="str">
        <f>'18年合同登记表'!L67</f>
        <v>陈勇</v>
      </c>
      <c r="D69" s="281">
        <f>'18年合同登记表'!M67</f>
        <v>22000</v>
      </c>
      <c r="E69" s="282"/>
      <c r="F69" s="3"/>
      <c r="G69" s="3"/>
      <c r="H69" s="3"/>
      <c r="I69" s="3"/>
      <c r="J69" s="3"/>
      <c r="K69" s="15">
        <f t="shared" si="77"/>
        <v>22000</v>
      </c>
      <c r="L69" s="289">
        <f t="shared" si="73"/>
        <v>1</v>
      </c>
      <c r="M69" s="282"/>
      <c r="N69" s="3"/>
      <c r="O69" s="3"/>
      <c r="P69" s="3"/>
      <c r="Q69" s="3"/>
      <c r="R69" s="3"/>
      <c r="S69" s="3"/>
      <c r="T69" s="3"/>
      <c r="U69" s="3">
        <v>0</v>
      </c>
      <c r="V69" s="3">
        <f>'18年合同登记表'!Q67</f>
        <v>22000</v>
      </c>
      <c r="W69" s="297">
        <f>'18年合同登记表'!R67</f>
        <v>1</v>
      </c>
      <c r="X69" s="15">
        <f t="shared" si="78"/>
        <v>22000</v>
      </c>
      <c r="Y69" s="289">
        <f t="shared" si="75"/>
        <v>1</v>
      </c>
      <c r="Z69" s="280">
        <f t="shared" si="79"/>
        <v>18700</v>
      </c>
      <c r="AA69" s="15">
        <f t="shared" si="80"/>
        <v>3300</v>
      </c>
      <c r="AB69" s="15">
        <f t="shared" si="81"/>
        <v>660</v>
      </c>
      <c r="AC69" s="15">
        <f t="shared" si="82"/>
        <v>2244</v>
      </c>
      <c r="AD69" s="15">
        <f t="shared" si="83"/>
        <v>211.2</v>
      </c>
      <c r="AE69" s="15">
        <f t="shared" si="84"/>
        <v>132</v>
      </c>
      <c r="AF69" s="281">
        <f t="shared" si="85"/>
        <v>52.8</v>
      </c>
      <c r="AG69" s="280">
        <f t="shared" si="86"/>
        <v>18700</v>
      </c>
      <c r="AH69" s="15">
        <f t="shared" si="87"/>
        <v>3300</v>
      </c>
      <c r="AI69" s="15">
        <f t="shared" si="88"/>
        <v>660</v>
      </c>
      <c r="AJ69" s="15">
        <f t="shared" si="89"/>
        <v>2244</v>
      </c>
      <c r="AK69" s="49"/>
      <c r="AL69" s="15">
        <f t="shared" si="90"/>
        <v>211.2</v>
      </c>
      <c r="AM69" s="49"/>
      <c r="AN69" s="15">
        <f t="shared" si="91"/>
        <v>132</v>
      </c>
      <c r="AO69" s="49"/>
      <c r="AP69" s="15">
        <f t="shared" si="92"/>
        <v>52.8</v>
      </c>
      <c r="AQ69" s="316"/>
    </row>
    <row r="70" spans="1:43">
      <c r="A70" s="280" t="e">
        <f>'18年合同登记表'!#REF!</f>
        <v>#REF!</v>
      </c>
      <c r="B70" s="15" t="e">
        <f>'18年合同登记表'!#REF!</f>
        <v>#REF!</v>
      </c>
      <c r="C70" s="281" t="e">
        <f>'18年合同登记表'!#REF!</f>
        <v>#REF!</v>
      </c>
      <c r="D70" s="281" t="e">
        <f>'18年合同登记表'!#REF!</f>
        <v>#REF!</v>
      </c>
      <c r="E70" s="282"/>
      <c r="F70" s="3"/>
      <c r="G70" s="3"/>
      <c r="H70" s="3"/>
      <c r="I70" s="3"/>
      <c r="J70" s="3"/>
      <c r="K70" s="15" t="e">
        <f t="shared" si="77"/>
        <v>#REF!</v>
      </c>
      <c r="L70" s="289" t="e">
        <f t="shared" si="73"/>
        <v>#REF!</v>
      </c>
      <c r="M70" s="282"/>
      <c r="N70" s="3"/>
      <c r="O70" s="3"/>
      <c r="P70" s="3"/>
      <c r="Q70" s="3"/>
      <c r="R70" s="3"/>
      <c r="S70" s="3"/>
      <c r="T70" s="3"/>
      <c r="U70" s="3">
        <v>0</v>
      </c>
      <c r="V70" s="3" t="e">
        <f>'18年合同登记表'!#REF!</f>
        <v>#REF!</v>
      </c>
      <c r="W70" s="297" t="e">
        <f>'18年合同登记表'!#REF!</f>
        <v>#REF!</v>
      </c>
      <c r="X70" s="15" t="e">
        <f t="shared" si="78"/>
        <v>#REF!</v>
      </c>
      <c r="Y70" s="289" t="e">
        <f t="shared" si="75"/>
        <v>#REF!</v>
      </c>
      <c r="Z70" s="280" t="e">
        <f t="shared" si="79"/>
        <v>#REF!</v>
      </c>
      <c r="AA70" s="15" t="e">
        <f t="shared" si="80"/>
        <v>#REF!</v>
      </c>
      <c r="AB70" s="15" t="e">
        <f t="shared" si="81"/>
        <v>#REF!</v>
      </c>
      <c r="AC70" s="15" t="e">
        <f t="shared" si="82"/>
        <v>#REF!</v>
      </c>
      <c r="AD70" s="15" t="e">
        <f t="shared" si="83"/>
        <v>#REF!</v>
      </c>
      <c r="AE70" s="15" t="e">
        <f t="shared" si="84"/>
        <v>#REF!</v>
      </c>
      <c r="AF70" s="281" t="e">
        <f t="shared" si="85"/>
        <v>#REF!</v>
      </c>
      <c r="AG70" s="280" t="e">
        <f t="shared" si="86"/>
        <v>#REF!</v>
      </c>
      <c r="AH70" s="15" t="e">
        <f t="shared" si="87"/>
        <v>#REF!</v>
      </c>
      <c r="AI70" s="15" t="e">
        <f t="shared" si="88"/>
        <v>#REF!</v>
      </c>
      <c r="AJ70" s="15" t="e">
        <f t="shared" si="89"/>
        <v>#REF!</v>
      </c>
      <c r="AK70" s="49"/>
      <c r="AL70" s="15" t="e">
        <f t="shared" si="90"/>
        <v>#REF!</v>
      </c>
      <c r="AM70" s="49"/>
      <c r="AN70" s="15" t="e">
        <f t="shared" si="91"/>
        <v>#REF!</v>
      </c>
      <c r="AO70" s="49"/>
      <c r="AP70" s="15" t="e">
        <f t="shared" si="92"/>
        <v>#REF!</v>
      </c>
      <c r="AQ70" s="316"/>
    </row>
    <row r="71" spans="1:43">
      <c r="A71" s="280" t="e">
        <f>'18年合同登记表'!#REF!</f>
        <v>#REF!</v>
      </c>
      <c r="B71" s="15" t="e">
        <f>'18年合同登记表'!#REF!</f>
        <v>#REF!</v>
      </c>
      <c r="C71" s="281" t="e">
        <f>'18年合同登记表'!#REF!</f>
        <v>#REF!</v>
      </c>
      <c r="D71" s="281" t="e">
        <f>'18年合同登记表'!#REF!</f>
        <v>#REF!</v>
      </c>
      <c r="E71" s="282"/>
      <c r="F71" s="3"/>
      <c r="G71" s="3"/>
      <c r="H71" s="3"/>
      <c r="I71" s="3"/>
      <c r="J71" s="3"/>
      <c r="K71" s="15" t="e">
        <f t="shared" si="77"/>
        <v>#REF!</v>
      </c>
      <c r="L71" s="289" t="e">
        <f t="shared" si="73"/>
        <v>#REF!</v>
      </c>
      <c r="M71" s="282"/>
      <c r="N71" s="3"/>
      <c r="O71" s="3"/>
      <c r="P71" s="3"/>
      <c r="Q71" s="3"/>
      <c r="R71" s="3"/>
      <c r="S71" s="3"/>
      <c r="T71" s="3"/>
      <c r="U71" s="3">
        <v>0</v>
      </c>
      <c r="V71" s="3" t="e">
        <f>'18年合同登记表'!#REF!</f>
        <v>#REF!</v>
      </c>
      <c r="W71" s="297" t="e">
        <f>'18年合同登记表'!#REF!</f>
        <v>#REF!</v>
      </c>
      <c r="X71" s="15" t="e">
        <f t="shared" si="78"/>
        <v>#REF!</v>
      </c>
      <c r="Y71" s="289" t="e">
        <f t="shared" si="75"/>
        <v>#REF!</v>
      </c>
      <c r="Z71" s="280" t="e">
        <f t="shared" si="79"/>
        <v>#REF!</v>
      </c>
      <c r="AA71" s="15" t="e">
        <f t="shared" si="80"/>
        <v>#REF!</v>
      </c>
      <c r="AB71" s="15" t="e">
        <f t="shared" si="81"/>
        <v>#REF!</v>
      </c>
      <c r="AC71" s="15" t="e">
        <f t="shared" si="82"/>
        <v>#REF!</v>
      </c>
      <c r="AD71" s="15" t="e">
        <f t="shared" si="83"/>
        <v>#REF!</v>
      </c>
      <c r="AE71" s="15" t="e">
        <f t="shared" si="84"/>
        <v>#REF!</v>
      </c>
      <c r="AF71" s="281" t="e">
        <f t="shared" si="85"/>
        <v>#REF!</v>
      </c>
      <c r="AG71" s="280" t="e">
        <f t="shared" si="86"/>
        <v>#REF!</v>
      </c>
      <c r="AH71" s="15" t="e">
        <f t="shared" si="87"/>
        <v>#REF!</v>
      </c>
      <c r="AI71" s="15" t="e">
        <f t="shared" si="88"/>
        <v>#REF!</v>
      </c>
      <c r="AJ71" s="15" t="e">
        <f t="shared" si="89"/>
        <v>#REF!</v>
      </c>
      <c r="AK71" s="49"/>
      <c r="AL71" s="15" t="e">
        <f t="shared" si="90"/>
        <v>#REF!</v>
      </c>
      <c r="AM71" s="49"/>
      <c r="AN71" s="15" t="e">
        <f t="shared" si="91"/>
        <v>#REF!</v>
      </c>
      <c r="AO71" s="49"/>
      <c r="AP71" s="15" t="e">
        <f t="shared" si="92"/>
        <v>#REF!</v>
      </c>
      <c r="AQ71" s="316"/>
    </row>
    <row r="72" spans="1:43">
      <c r="A72" s="285" t="s">
        <v>41</v>
      </c>
      <c r="B72" s="13"/>
      <c r="C72" s="286"/>
      <c r="D72" s="286">
        <f>'18年合同登记表'!M83</f>
        <v>1900744.89</v>
      </c>
      <c r="E72" s="13">
        <f t="shared" ref="E72" si="247">SUM(E64:E71)</f>
        <v>0</v>
      </c>
      <c r="F72" s="13">
        <f t="shared" ref="F72" si="248">SUM(F64:F71)</f>
        <v>0</v>
      </c>
      <c r="G72" s="13">
        <f t="shared" ref="G72" si="249">SUM(G64:G71)</f>
        <v>0</v>
      </c>
      <c r="H72" s="13">
        <f t="shared" ref="H72" si="250">SUM(H64:H71)</f>
        <v>0</v>
      </c>
      <c r="I72" s="13">
        <f t="shared" ref="I72" si="251">SUM(I64:I71)</f>
        <v>0</v>
      </c>
      <c r="J72" s="13">
        <f t="shared" ref="J72:K72" si="252">SUM(J64:J71)</f>
        <v>0</v>
      </c>
      <c r="K72" s="13" t="e">
        <f t="shared" si="252"/>
        <v>#REF!</v>
      </c>
      <c r="L72" s="290" t="e">
        <f t="shared" si="73"/>
        <v>#REF!</v>
      </c>
      <c r="M72" s="13">
        <f t="shared" ref="M72" si="253">SUM(M64:M71)</f>
        <v>0</v>
      </c>
      <c r="N72" s="13">
        <f t="shared" ref="N72" si="254">SUM(N64:N71)</f>
        <v>0</v>
      </c>
      <c r="O72" s="13">
        <f t="shared" ref="O72" si="255">SUM(O64:O71)</f>
        <v>0</v>
      </c>
      <c r="P72" s="13">
        <f t="shared" ref="P72" si="256">SUM(P64:P71)</f>
        <v>0</v>
      </c>
      <c r="Q72" s="13">
        <f t="shared" ref="Q72" si="257">SUM(Q64:Q71)</f>
        <v>0</v>
      </c>
      <c r="R72" s="13">
        <f t="shared" ref="R72" si="258">SUM(R64:R71)</f>
        <v>0</v>
      </c>
      <c r="S72" s="13">
        <f t="shared" ref="S72" si="259">SUM(S64:S71)</f>
        <v>0</v>
      </c>
      <c r="T72" s="13">
        <f t="shared" ref="T72" si="260">SUM(T64:T71)</f>
        <v>0</v>
      </c>
      <c r="U72" s="13">
        <f t="shared" ref="U72:V72" si="261">SUM(U64:U71)</f>
        <v>0</v>
      </c>
      <c r="V72" s="13" t="e">
        <f t="shared" si="261"/>
        <v>#REF!</v>
      </c>
      <c r="W72" s="298">
        <f>'18年合同登记表'!R83</f>
        <v>0.53440213641716</v>
      </c>
      <c r="X72" s="13" t="e">
        <f>SUM(X64:X71)</f>
        <v>#REF!</v>
      </c>
      <c r="Y72" s="290" t="e">
        <f t="shared" si="75"/>
        <v>#REF!</v>
      </c>
      <c r="Z72" s="13" t="e">
        <f t="shared" ref="Z72" si="262">SUM(Z64:Z71)</f>
        <v>#REF!</v>
      </c>
      <c r="AA72" s="13" t="e">
        <f t="shared" ref="AA72" si="263">SUM(AA64:AA71)</f>
        <v>#REF!</v>
      </c>
      <c r="AB72" s="13" t="e">
        <f t="shared" ref="AB72" si="264">SUM(AB64:AB71)</f>
        <v>#REF!</v>
      </c>
      <c r="AC72" s="13" t="e">
        <f t="shared" ref="AC72" si="265">SUM(AC64:AC71)</f>
        <v>#REF!</v>
      </c>
      <c r="AD72" s="13" t="e">
        <f t="shared" ref="AD72" si="266">SUM(AD64:AD71)</f>
        <v>#REF!</v>
      </c>
      <c r="AE72" s="13" t="e">
        <f t="shared" ref="AE72" si="267">SUM(AE64:AE71)</f>
        <v>#REF!</v>
      </c>
      <c r="AF72" s="13" t="e">
        <f t="shared" ref="AF72" si="268">SUM(AF64:AF71)</f>
        <v>#REF!</v>
      </c>
      <c r="AG72" s="13" t="e">
        <f t="shared" ref="AG72" si="269">SUM(AG64:AG71)</f>
        <v>#REF!</v>
      </c>
      <c r="AH72" s="13" t="e">
        <f t="shared" ref="AH72" si="270">SUM(AH64:AH71)</f>
        <v>#REF!</v>
      </c>
      <c r="AI72" s="13" t="e">
        <f t="shared" ref="AI72" si="271">SUM(AI64:AI71)</f>
        <v>#REF!</v>
      </c>
      <c r="AJ72" s="13" t="e">
        <f t="shared" ref="AJ72" si="272">SUM(AJ64:AJ71)</f>
        <v>#REF!</v>
      </c>
      <c r="AK72" s="13">
        <f t="shared" ref="AK72" si="273">SUM(AK64:AK71)</f>
        <v>0</v>
      </c>
      <c r="AL72" s="13" t="e">
        <f t="shared" ref="AL72" si="274">SUM(AL64:AL71)</f>
        <v>#REF!</v>
      </c>
      <c r="AM72" s="13">
        <f t="shared" ref="AM72" si="275">SUM(AM64:AM71)</f>
        <v>0</v>
      </c>
      <c r="AN72" s="13" t="e">
        <f t="shared" ref="AN72" si="276">SUM(AN64:AN71)</f>
        <v>#REF!</v>
      </c>
      <c r="AO72" s="13">
        <f t="shared" ref="AO72" si="277">SUM(AO64:AO71)</f>
        <v>0</v>
      </c>
      <c r="AP72" s="13" t="e">
        <f t="shared" ref="AP72" si="278">SUM(AP64:AP71)</f>
        <v>#REF!</v>
      </c>
      <c r="AQ72" s="13">
        <f t="shared" ref="AQ72" si="279">SUM(AQ64:AQ71)</f>
        <v>0</v>
      </c>
    </row>
    <row r="73" spans="1:43">
      <c r="A73" s="285" t="s">
        <v>42</v>
      </c>
      <c r="B73" s="13"/>
      <c r="C73" s="286"/>
      <c r="D73" s="286">
        <f>'18年合同登记表'!M84</f>
        <v>6050934.47</v>
      </c>
      <c r="E73" s="13">
        <f t="shared" ref="E73" si="280">E63+E72</f>
        <v>97470</v>
      </c>
      <c r="F73" s="13">
        <f t="shared" ref="F73" si="281">F63+F72</f>
        <v>509816</v>
      </c>
      <c r="G73" s="13">
        <f t="shared" ref="G73" si="282">G63+G72</f>
        <v>130076.3</v>
      </c>
      <c r="H73" s="13">
        <f t="shared" ref="H73" si="283">H63+H72</f>
        <v>134561</v>
      </c>
      <c r="I73" s="13">
        <f t="shared" ref="I73" si="284">I63+I72</f>
        <v>66251</v>
      </c>
      <c r="J73" s="13">
        <f t="shared" ref="J73:K73" si="285">J63+J72</f>
        <v>13577</v>
      </c>
      <c r="K73" s="13" t="e">
        <f t="shared" si="285"/>
        <v>#REF!</v>
      </c>
      <c r="L73" s="290" t="e">
        <f t="shared" si="73"/>
        <v>#REF!</v>
      </c>
      <c r="M73" s="13">
        <f t="shared" ref="M73" si="286">M63+M72</f>
        <v>330</v>
      </c>
      <c r="N73" s="13">
        <f t="shared" ref="N73" si="287">N63+N72</f>
        <v>5495</v>
      </c>
      <c r="O73" s="13">
        <f t="shared" ref="O73" si="288">O63+O72</f>
        <v>2620.2</v>
      </c>
      <c r="P73" s="13">
        <f t="shared" ref="P73" si="289">P63+P72</f>
        <v>5000</v>
      </c>
      <c r="Q73" s="13">
        <f t="shared" ref="Q73" si="290">Q63+Q72</f>
        <v>1650</v>
      </c>
      <c r="R73" s="13">
        <f t="shared" ref="R73" si="291">R63+R72</f>
        <v>330</v>
      </c>
      <c r="S73" s="13">
        <f t="shared" ref="S73" si="292">S63+S72</f>
        <v>0</v>
      </c>
      <c r="T73" s="13">
        <f t="shared" ref="T73" si="293">T63+T72</f>
        <v>0</v>
      </c>
      <c r="U73" s="13">
        <f t="shared" ref="U73:V73" si="294">U63+U72</f>
        <v>0</v>
      </c>
      <c r="V73" s="13" t="e">
        <f t="shared" si="294"/>
        <v>#REF!</v>
      </c>
      <c r="W73" s="298">
        <f>'18年合同登记表'!R84</f>
        <v>0.699012714642735</v>
      </c>
      <c r="X73" s="13" t="e">
        <f>X63+X72</f>
        <v>#REF!</v>
      </c>
      <c r="Y73" s="290" t="e">
        <f t="shared" si="75"/>
        <v>#REF!</v>
      </c>
      <c r="Z73" s="13" t="e">
        <f t="shared" ref="Z73" si="295">Z63+Z72</f>
        <v>#REF!</v>
      </c>
      <c r="AA73" s="13" t="e">
        <f t="shared" ref="AA73" si="296">AA63+AA72</f>
        <v>#REF!</v>
      </c>
      <c r="AB73" s="13" t="e">
        <f t="shared" ref="AB73" si="297">AB63+AB72</f>
        <v>#REF!</v>
      </c>
      <c r="AC73" s="13" t="e">
        <f t="shared" ref="AC73" si="298">AC63+AC72</f>
        <v>#REF!</v>
      </c>
      <c r="AD73" s="13" t="e">
        <f t="shared" ref="AD73" si="299">AD63+AD72</f>
        <v>#REF!</v>
      </c>
      <c r="AE73" s="13" t="e">
        <f t="shared" ref="AE73" si="300">AE63+AE72</f>
        <v>#REF!</v>
      </c>
      <c r="AF73" s="13" t="e">
        <f t="shared" ref="AF73" si="301">AF63+AF72</f>
        <v>#REF!</v>
      </c>
      <c r="AG73" s="13" t="e">
        <f t="shared" ref="AG73" si="302">AG63+AG72</f>
        <v>#REF!</v>
      </c>
      <c r="AH73" s="13" t="e">
        <f t="shared" ref="AH73" si="303">AH63+AH72</f>
        <v>#REF!</v>
      </c>
      <c r="AI73" s="13" t="e">
        <f t="shared" ref="AI73" si="304">AI63+AI72</f>
        <v>#REF!</v>
      </c>
      <c r="AJ73" s="13" t="e">
        <f t="shared" ref="AJ73" si="305">AJ63+AJ72</f>
        <v>#REF!</v>
      </c>
      <c r="AK73" s="13">
        <f t="shared" ref="AK73" si="306">AK63+AK72</f>
        <v>0</v>
      </c>
      <c r="AL73" s="13" t="e">
        <f t="shared" ref="AL73" si="307">AL63+AL72</f>
        <v>#REF!</v>
      </c>
      <c r="AM73" s="13">
        <f t="shared" ref="AM73" si="308">AM63+AM72</f>
        <v>0</v>
      </c>
      <c r="AN73" s="13" t="e">
        <f t="shared" ref="AN73" si="309">AN63+AN72</f>
        <v>#REF!</v>
      </c>
      <c r="AO73" s="13">
        <f t="shared" ref="AO73" si="310">AO63+AO72</f>
        <v>0</v>
      </c>
      <c r="AP73" s="13" t="e">
        <f t="shared" ref="AP73" si="311">AP63+AP72</f>
        <v>#REF!</v>
      </c>
      <c r="AQ73" s="13">
        <f t="shared" ref="AQ73" si="312">AQ63+AQ72</f>
        <v>0</v>
      </c>
    </row>
    <row r="74" spans="1:43">
      <c r="A74" s="280" t="str">
        <f>'18年合同登记表'!F85</f>
        <v>汇金中心</v>
      </c>
      <c r="B74" s="15" t="str">
        <f>'18年合同登记表'!I85</f>
        <v>直燃机年度维保</v>
      </c>
      <c r="C74" s="281" t="str">
        <f>'18年合同登记表'!L85</f>
        <v>王东</v>
      </c>
      <c r="D74" s="281">
        <f>'18年合同登记表'!M85</f>
        <v>19250</v>
      </c>
      <c r="E74" s="282"/>
      <c r="F74" s="3"/>
      <c r="G74" s="3"/>
      <c r="H74" s="3"/>
      <c r="I74" s="3"/>
      <c r="J74" s="3"/>
      <c r="K74" s="15">
        <f t="shared" si="77"/>
        <v>19250</v>
      </c>
      <c r="L74" s="289">
        <f t="shared" si="73"/>
        <v>1</v>
      </c>
      <c r="M74" s="282"/>
      <c r="N74" s="3"/>
      <c r="O74" s="3"/>
      <c r="P74" s="3"/>
      <c r="Q74" s="3"/>
      <c r="R74" s="3"/>
      <c r="S74" s="3"/>
      <c r="T74" s="3"/>
      <c r="U74" s="3">
        <v>0</v>
      </c>
      <c r="V74" s="3">
        <f>'18年合同登记表'!Q85</f>
        <v>19250</v>
      </c>
      <c r="W74" s="297">
        <f>'18年合同登记表'!R85</f>
        <v>1</v>
      </c>
      <c r="X74" s="15">
        <f t="shared" si="78"/>
        <v>19250</v>
      </c>
      <c r="Y74" s="289">
        <f t="shared" si="75"/>
        <v>1</v>
      </c>
      <c r="Z74" s="280">
        <f t="shared" si="79"/>
        <v>16362.5</v>
      </c>
      <c r="AA74" s="15">
        <f t="shared" si="80"/>
        <v>2887.5</v>
      </c>
      <c r="AB74" s="15">
        <f t="shared" si="81"/>
        <v>577.5</v>
      </c>
      <c r="AC74" s="15">
        <f t="shared" si="82"/>
        <v>1963.5</v>
      </c>
      <c r="AD74" s="15">
        <f t="shared" si="83"/>
        <v>184.8</v>
      </c>
      <c r="AE74" s="15">
        <f t="shared" si="84"/>
        <v>115.5</v>
      </c>
      <c r="AF74" s="281">
        <f t="shared" si="85"/>
        <v>46.2</v>
      </c>
      <c r="AG74" s="280">
        <f t="shared" si="86"/>
        <v>16362.5</v>
      </c>
      <c r="AH74" s="15">
        <f t="shared" si="87"/>
        <v>2887.5</v>
      </c>
      <c r="AI74" s="15">
        <f t="shared" si="88"/>
        <v>577.5</v>
      </c>
      <c r="AJ74" s="15">
        <f t="shared" si="89"/>
        <v>1963.5</v>
      </c>
      <c r="AK74" s="49"/>
      <c r="AL74" s="15">
        <f t="shared" si="90"/>
        <v>184.8</v>
      </c>
      <c r="AM74" s="49"/>
      <c r="AN74" s="15">
        <f t="shared" si="91"/>
        <v>115.5</v>
      </c>
      <c r="AO74" s="49"/>
      <c r="AP74" s="15">
        <f t="shared" si="92"/>
        <v>46.2</v>
      </c>
      <c r="AQ74" s="316"/>
    </row>
    <row r="75" spans="1:43">
      <c r="A75" s="280" t="str">
        <f>'18年合同登记表'!F86</f>
        <v>玉泉营古文化广场</v>
      </c>
      <c r="B75" s="15" t="str">
        <f>'18年合同登记表'!I86</f>
        <v>中央空调冷却水处理合同</v>
      </c>
      <c r="C75" s="281" t="str">
        <f>'18年合同登记表'!L86</f>
        <v>陈勇</v>
      </c>
      <c r="D75" s="281">
        <f>'18年合同登记表'!M86</f>
        <v>14000</v>
      </c>
      <c r="E75" s="282"/>
      <c r="F75" s="3"/>
      <c r="G75" s="3"/>
      <c r="H75" s="3"/>
      <c r="I75" s="3"/>
      <c r="J75" s="3"/>
      <c r="K75" s="15">
        <f t="shared" si="77"/>
        <v>14000</v>
      </c>
      <c r="L75" s="289">
        <f t="shared" si="73"/>
        <v>1</v>
      </c>
      <c r="M75" s="282"/>
      <c r="N75" s="3"/>
      <c r="O75" s="3"/>
      <c r="P75" s="3"/>
      <c r="Q75" s="3"/>
      <c r="R75" s="3"/>
      <c r="S75" s="3"/>
      <c r="T75" s="3"/>
      <c r="U75" s="3">
        <v>0</v>
      </c>
      <c r="V75" s="3">
        <f>'18年合同登记表'!Q86</f>
        <v>14000</v>
      </c>
      <c r="W75" s="297">
        <f>'18年合同登记表'!R86</f>
        <v>1</v>
      </c>
      <c r="X75" s="15">
        <f t="shared" si="78"/>
        <v>14000</v>
      </c>
      <c r="Y75" s="289">
        <f t="shared" si="75"/>
        <v>1</v>
      </c>
      <c r="Z75" s="280">
        <f t="shared" si="79"/>
        <v>11900</v>
      </c>
      <c r="AA75" s="15">
        <f t="shared" si="80"/>
        <v>2100</v>
      </c>
      <c r="AB75" s="15">
        <f t="shared" si="81"/>
        <v>420</v>
      </c>
      <c r="AC75" s="15">
        <f t="shared" si="82"/>
        <v>1428</v>
      </c>
      <c r="AD75" s="15">
        <f t="shared" si="83"/>
        <v>134.4</v>
      </c>
      <c r="AE75" s="15">
        <f t="shared" si="84"/>
        <v>84</v>
      </c>
      <c r="AF75" s="281">
        <f t="shared" si="85"/>
        <v>33.6</v>
      </c>
      <c r="AG75" s="280">
        <f t="shared" si="86"/>
        <v>11900</v>
      </c>
      <c r="AH75" s="15">
        <f t="shared" si="87"/>
        <v>2100</v>
      </c>
      <c r="AI75" s="15">
        <f t="shared" si="88"/>
        <v>420</v>
      </c>
      <c r="AJ75" s="15">
        <f t="shared" si="89"/>
        <v>1428</v>
      </c>
      <c r="AK75" s="49"/>
      <c r="AL75" s="15">
        <f t="shared" si="90"/>
        <v>134.4</v>
      </c>
      <c r="AM75" s="49"/>
      <c r="AN75" s="15">
        <f t="shared" si="91"/>
        <v>84</v>
      </c>
      <c r="AO75" s="49"/>
      <c r="AP75" s="15">
        <f t="shared" si="92"/>
        <v>33.6</v>
      </c>
      <c r="AQ75" s="316"/>
    </row>
    <row r="76" spans="1:43">
      <c r="A76" s="280" t="str">
        <f>'18年合同登记表'!F87</f>
        <v>东亿传媒</v>
      </c>
      <c r="B76" s="15" t="str">
        <f>'18年合同登记表'!I87</f>
        <v>直燃机、锅炉化学清洗预膜服务合同</v>
      </c>
      <c r="C76" s="281" t="str">
        <f>'18年合同登记表'!L87</f>
        <v>陈勇</v>
      </c>
      <c r="D76" s="281">
        <f>'18年合同登记表'!M87</f>
        <v>41700</v>
      </c>
      <c r="E76" s="282"/>
      <c r="F76" s="3"/>
      <c r="G76" s="3"/>
      <c r="H76" s="3"/>
      <c r="I76" s="3"/>
      <c r="J76" s="3"/>
      <c r="K76" s="15">
        <f t="shared" si="77"/>
        <v>41700</v>
      </c>
      <c r="L76" s="289">
        <f t="shared" si="73"/>
        <v>1</v>
      </c>
      <c r="M76" s="282"/>
      <c r="N76" s="3"/>
      <c r="O76" s="3"/>
      <c r="P76" s="3"/>
      <c r="Q76" s="3"/>
      <c r="R76" s="3"/>
      <c r="S76" s="3"/>
      <c r="T76" s="3"/>
      <c r="U76" s="3">
        <v>0</v>
      </c>
      <c r="V76" s="3">
        <f>'18年合同登记表'!Q87</f>
        <v>41700</v>
      </c>
      <c r="W76" s="297">
        <f>'18年合同登记表'!R87</f>
        <v>1</v>
      </c>
      <c r="X76" s="15">
        <f t="shared" si="78"/>
        <v>41700</v>
      </c>
      <c r="Y76" s="289">
        <f t="shared" si="75"/>
        <v>1</v>
      </c>
      <c r="Z76" s="280">
        <f t="shared" si="79"/>
        <v>35445</v>
      </c>
      <c r="AA76" s="15">
        <f t="shared" si="80"/>
        <v>6255</v>
      </c>
      <c r="AB76" s="15">
        <f t="shared" si="81"/>
        <v>1251</v>
      </c>
      <c r="AC76" s="15">
        <f t="shared" si="82"/>
        <v>4253.4</v>
      </c>
      <c r="AD76" s="15">
        <f t="shared" si="83"/>
        <v>400.32</v>
      </c>
      <c r="AE76" s="15">
        <f t="shared" si="84"/>
        <v>250.2</v>
      </c>
      <c r="AF76" s="281">
        <f t="shared" si="85"/>
        <v>100.08</v>
      </c>
      <c r="AG76" s="280">
        <f t="shared" si="86"/>
        <v>35445</v>
      </c>
      <c r="AH76" s="15">
        <f t="shared" si="87"/>
        <v>6255</v>
      </c>
      <c r="AI76" s="15">
        <f t="shared" si="88"/>
        <v>1251</v>
      </c>
      <c r="AJ76" s="15">
        <f t="shared" si="89"/>
        <v>4253.4</v>
      </c>
      <c r="AK76" s="49"/>
      <c r="AL76" s="15">
        <f t="shared" si="90"/>
        <v>400.32</v>
      </c>
      <c r="AM76" s="49"/>
      <c r="AN76" s="15">
        <f t="shared" si="91"/>
        <v>250.2</v>
      </c>
      <c r="AO76" s="49"/>
      <c r="AP76" s="15">
        <f t="shared" si="92"/>
        <v>100.08</v>
      </c>
      <c r="AQ76" s="316"/>
    </row>
    <row r="77" spans="1:43">
      <c r="A77" s="280" t="str">
        <f>'18年合同登记表'!F88</f>
        <v>聚富宫</v>
      </c>
      <c r="B77" s="15" t="str">
        <f>'18年合同登记表'!I88</f>
        <v>直燃机年度维保</v>
      </c>
      <c r="C77" s="281" t="str">
        <f>'18年合同登记表'!L88</f>
        <v>陈勇</v>
      </c>
      <c r="D77" s="281">
        <f>'18年合同登记表'!M88</f>
        <v>16000</v>
      </c>
      <c r="E77" s="282"/>
      <c r="F77" s="3"/>
      <c r="G77" s="3"/>
      <c r="H77" s="3"/>
      <c r="I77" s="3"/>
      <c r="J77" s="3"/>
      <c r="K77" s="15">
        <f t="shared" si="77"/>
        <v>16000</v>
      </c>
      <c r="L77" s="289">
        <f t="shared" si="73"/>
        <v>1</v>
      </c>
      <c r="M77" s="282"/>
      <c r="N77" s="3"/>
      <c r="O77" s="3"/>
      <c r="P77" s="3"/>
      <c r="Q77" s="3"/>
      <c r="R77" s="3"/>
      <c r="S77" s="3"/>
      <c r="T77" s="3"/>
      <c r="U77" s="3">
        <v>0</v>
      </c>
      <c r="V77" s="3">
        <f>'18年合同登记表'!Q88</f>
        <v>16000</v>
      </c>
      <c r="W77" s="297">
        <f>'18年合同登记表'!R88</f>
        <v>1</v>
      </c>
      <c r="X77" s="15">
        <f t="shared" si="78"/>
        <v>16000</v>
      </c>
      <c r="Y77" s="289">
        <f t="shared" si="75"/>
        <v>1</v>
      </c>
      <c r="Z77" s="280">
        <f t="shared" si="79"/>
        <v>13600</v>
      </c>
      <c r="AA77" s="15">
        <f t="shared" si="80"/>
        <v>2400</v>
      </c>
      <c r="AB77" s="15">
        <f t="shared" si="81"/>
        <v>480</v>
      </c>
      <c r="AC77" s="15">
        <f t="shared" si="82"/>
        <v>1632</v>
      </c>
      <c r="AD77" s="15">
        <f t="shared" si="83"/>
        <v>153.6</v>
      </c>
      <c r="AE77" s="15">
        <f t="shared" si="84"/>
        <v>96</v>
      </c>
      <c r="AF77" s="281">
        <f t="shared" si="85"/>
        <v>38.4</v>
      </c>
      <c r="AG77" s="280">
        <f t="shared" si="86"/>
        <v>13600</v>
      </c>
      <c r="AH77" s="15">
        <f t="shared" si="87"/>
        <v>2400</v>
      </c>
      <c r="AI77" s="15">
        <f t="shared" si="88"/>
        <v>480</v>
      </c>
      <c r="AJ77" s="15">
        <f t="shared" si="89"/>
        <v>1632</v>
      </c>
      <c r="AK77" s="49"/>
      <c r="AL77" s="15">
        <f t="shared" si="90"/>
        <v>153.6</v>
      </c>
      <c r="AM77" s="49"/>
      <c r="AN77" s="15">
        <f t="shared" si="91"/>
        <v>96</v>
      </c>
      <c r="AO77" s="49"/>
      <c r="AP77" s="15">
        <f t="shared" si="92"/>
        <v>38.4</v>
      </c>
      <c r="AQ77" s="316"/>
    </row>
    <row r="78" spans="1:43">
      <c r="A78" s="280" t="str">
        <f>'18年合同登记表'!F89</f>
        <v>华亨</v>
      </c>
      <c r="B78" s="15" t="str">
        <f>'18年合同登记表'!I89</f>
        <v>直燃机年度维保</v>
      </c>
      <c r="C78" s="281" t="str">
        <f>'18年合同登记表'!L89</f>
        <v>陈勇</v>
      </c>
      <c r="D78" s="281">
        <f>'18年合同登记表'!M89</f>
        <v>44000</v>
      </c>
      <c r="E78" s="282"/>
      <c r="F78" s="3"/>
      <c r="G78" s="3"/>
      <c r="H78" s="3"/>
      <c r="I78" s="3"/>
      <c r="J78" s="3"/>
      <c r="K78" s="15">
        <f t="shared" si="77"/>
        <v>44000</v>
      </c>
      <c r="L78" s="289">
        <f t="shared" si="73"/>
        <v>1</v>
      </c>
      <c r="M78" s="282"/>
      <c r="N78" s="3"/>
      <c r="O78" s="3"/>
      <c r="P78" s="3"/>
      <c r="Q78" s="3"/>
      <c r="R78" s="3"/>
      <c r="S78" s="3"/>
      <c r="T78" s="3"/>
      <c r="U78" s="3">
        <v>0</v>
      </c>
      <c r="V78" s="3">
        <f>'18年合同登记表'!Q89</f>
        <v>44000</v>
      </c>
      <c r="W78" s="297">
        <f>'18年合同登记表'!R89</f>
        <v>1</v>
      </c>
      <c r="X78" s="15">
        <f t="shared" si="78"/>
        <v>44000</v>
      </c>
      <c r="Y78" s="289">
        <f t="shared" si="75"/>
        <v>1</v>
      </c>
      <c r="Z78" s="280">
        <f t="shared" si="79"/>
        <v>37400</v>
      </c>
      <c r="AA78" s="15">
        <f t="shared" si="80"/>
        <v>6600</v>
      </c>
      <c r="AB78" s="15">
        <f t="shared" si="81"/>
        <v>1320</v>
      </c>
      <c r="AC78" s="15">
        <f t="shared" si="82"/>
        <v>4488</v>
      </c>
      <c r="AD78" s="15">
        <f t="shared" si="83"/>
        <v>422.4</v>
      </c>
      <c r="AE78" s="15">
        <f t="shared" si="84"/>
        <v>264</v>
      </c>
      <c r="AF78" s="281">
        <f t="shared" si="85"/>
        <v>105.6</v>
      </c>
      <c r="AG78" s="280">
        <f t="shared" si="86"/>
        <v>37400</v>
      </c>
      <c r="AH78" s="15">
        <f t="shared" si="87"/>
        <v>6600</v>
      </c>
      <c r="AI78" s="15">
        <f t="shared" si="88"/>
        <v>1320</v>
      </c>
      <c r="AJ78" s="15">
        <f t="shared" si="89"/>
        <v>4488</v>
      </c>
      <c r="AK78" s="49"/>
      <c r="AL78" s="15">
        <f t="shared" si="90"/>
        <v>422.4</v>
      </c>
      <c r="AM78" s="49"/>
      <c r="AN78" s="15">
        <f t="shared" si="91"/>
        <v>264</v>
      </c>
      <c r="AO78" s="49"/>
      <c r="AP78" s="15">
        <f t="shared" si="92"/>
        <v>105.6</v>
      </c>
      <c r="AQ78" s="316"/>
    </row>
    <row r="79" spans="1:43">
      <c r="A79" s="280" t="str">
        <f>'18年合同登记表'!F90</f>
        <v>餐饮中心</v>
      </c>
      <c r="B79" s="15" t="str">
        <f>'18年合同登记表'!I90</f>
        <v>锅炉年度维保</v>
      </c>
      <c r="C79" s="281" t="str">
        <f>'18年合同登记表'!L90</f>
        <v>陈勇</v>
      </c>
      <c r="D79" s="281">
        <f>'18年合同登记表'!M90</f>
        <v>12000</v>
      </c>
      <c r="E79" s="282"/>
      <c r="F79" s="3"/>
      <c r="G79" s="3"/>
      <c r="H79" s="3"/>
      <c r="I79" s="3"/>
      <c r="J79" s="3"/>
      <c r="K79" s="15">
        <f t="shared" si="77"/>
        <v>12000</v>
      </c>
      <c r="L79" s="289">
        <f t="shared" si="73"/>
        <v>1</v>
      </c>
      <c r="M79" s="282"/>
      <c r="N79" s="3"/>
      <c r="O79" s="3"/>
      <c r="P79" s="3"/>
      <c r="Q79" s="3"/>
      <c r="R79" s="3"/>
      <c r="S79" s="3"/>
      <c r="T79" s="3"/>
      <c r="U79" s="3">
        <v>0</v>
      </c>
      <c r="V79" s="3">
        <f>'18年合同登记表'!Q90</f>
        <v>12000</v>
      </c>
      <c r="W79" s="297">
        <f>'18年合同登记表'!R90</f>
        <v>1</v>
      </c>
      <c r="X79" s="15">
        <f t="shared" si="78"/>
        <v>12000</v>
      </c>
      <c r="Y79" s="289">
        <f t="shared" si="75"/>
        <v>1</v>
      </c>
      <c r="Z79" s="280">
        <f t="shared" si="79"/>
        <v>10200</v>
      </c>
      <c r="AA79" s="15">
        <f t="shared" si="80"/>
        <v>1800</v>
      </c>
      <c r="AB79" s="15">
        <f t="shared" si="81"/>
        <v>360</v>
      </c>
      <c r="AC79" s="15">
        <f t="shared" si="82"/>
        <v>1224</v>
      </c>
      <c r="AD79" s="15">
        <f t="shared" si="83"/>
        <v>115.2</v>
      </c>
      <c r="AE79" s="15">
        <f t="shared" si="84"/>
        <v>72</v>
      </c>
      <c r="AF79" s="281">
        <f t="shared" si="85"/>
        <v>28.8</v>
      </c>
      <c r="AG79" s="280">
        <f t="shared" si="86"/>
        <v>10200</v>
      </c>
      <c r="AH79" s="15">
        <f t="shared" si="87"/>
        <v>1800</v>
      </c>
      <c r="AI79" s="15">
        <f t="shared" si="88"/>
        <v>360</v>
      </c>
      <c r="AJ79" s="15">
        <f t="shared" si="89"/>
        <v>1224</v>
      </c>
      <c r="AK79" s="49"/>
      <c r="AL79" s="15">
        <f t="shared" si="90"/>
        <v>115.2</v>
      </c>
      <c r="AM79" s="49"/>
      <c r="AN79" s="15">
        <f t="shared" si="91"/>
        <v>72</v>
      </c>
      <c r="AO79" s="49"/>
      <c r="AP79" s="15">
        <f t="shared" si="92"/>
        <v>28.8</v>
      </c>
      <c r="AQ79" s="316"/>
    </row>
    <row r="80" spans="1:43">
      <c r="A80" s="280" t="str">
        <f>'18年合同登记表'!F91</f>
        <v>新农创</v>
      </c>
      <c r="B80" s="15" t="str">
        <f>'18年合同登记表'!I91</f>
        <v>真空泵销售</v>
      </c>
      <c r="C80" s="281" t="str">
        <f>'18年合同登记表'!L91</f>
        <v>陈勇</v>
      </c>
      <c r="D80" s="281">
        <f>'18年合同登记表'!M91</f>
        <v>7500</v>
      </c>
      <c r="E80" s="282"/>
      <c r="F80" s="3"/>
      <c r="G80" s="3"/>
      <c r="H80" s="3"/>
      <c r="I80" s="3"/>
      <c r="J80" s="3"/>
      <c r="K80" s="15">
        <f t="shared" si="77"/>
        <v>7500</v>
      </c>
      <c r="L80" s="289">
        <f t="shared" si="73"/>
        <v>1</v>
      </c>
      <c r="M80" s="282"/>
      <c r="N80" s="3"/>
      <c r="O80" s="3"/>
      <c r="P80" s="3"/>
      <c r="Q80" s="3"/>
      <c r="R80" s="3"/>
      <c r="S80" s="3"/>
      <c r="T80" s="3"/>
      <c r="U80" s="3">
        <v>0</v>
      </c>
      <c r="V80" s="3">
        <f>'18年合同登记表'!Q91</f>
        <v>6000</v>
      </c>
      <c r="W80" s="297">
        <f>'18年合同登记表'!R91</f>
        <v>0.8</v>
      </c>
      <c r="X80" s="15">
        <f t="shared" si="78"/>
        <v>7500</v>
      </c>
      <c r="Y80" s="289">
        <f t="shared" si="75"/>
        <v>1</v>
      </c>
      <c r="Z80" s="280">
        <f t="shared" si="79"/>
        <v>6375</v>
      </c>
      <c r="AA80" s="15">
        <f t="shared" si="80"/>
        <v>1125</v>
      </c>
      <c r="AB80" s="15">
        <f t="shared" si="81"/>
        <v>225</v>
      </c>
      <c r="AC80" s="15">
        <f t="shared" si="82"/>
        <v>765</v>
      </c>
      <c r="AD80" s="15">
        <f t="shared" si="83"/>
        <v>72</v>
      </c>
      <c r="AE80" s="15">
        <f t="shared" si="84"/>
        <v>45</v>
      </c>
      <c r="AF80" s="281">
        <f t="shared" si="85"/>
        <v>18</v>
      </c>
      <c r="AG80" s="280">
        <f t="shared" si="86"/>
        <v>6375</v>
      </c>
      <c r="AH80" s="15">
        <f t="shared" si="87"/>
        <v>1125</v>
      </c>
      <c r="AI80" s="15">
        <f t="shared" si="88"/>
        <v>180</v>
      </c>
      <c r="AJ80" s="15">
        <f t="shared" si="89"/>
        <v>612</v>
      </c>
      <c r="AK80" s="49"/>
      <c r="AL80" s="15">
        <f t="shared" si="90"/>
        <v>57.6</v>
      </c>
      <c r="AM80" s="49"/>
      <c r="AN80" s="15">
        <f t="shared" si="91"/>
        <v>36</v>
      </c>
      <c r="AO80" s="49"/>
      <c r="AP80" s="15">
        <f t="shared" si="92"/>
        <v>14.4</v>
      </c>
      <c r="AQ80" s="316"/>
    </row>
    <row r="81" spans="1:43">
      <c r="A81" s="280" t="e">
        <f>'18年合同登记表'!#REF!</f>
        <v>#REF!</v>
      </c>
      <c r="B81" s="15" t="e">
        <f>'18年合同登记表'!#REF!</f>
        <v>#REF!</v>
      </c>
      <c r="C81" s="281" t="e">
        <f>'18年合同登记表'!#REF!</f>
        <v>#REF!</v>
      </c>
      <c r="D81" s="281" t="e">
        <f>'18年合同登记表'!#REF!</f>
        <v>#REF!</v>
      </c>
      <c r="E81" s="282"/>
      <c r="F81" s="3"/>
      <c r="G81" s="3"/>
      <c r="H81" s="3"/>
      <c r="I81" s="3"/>
      <c r="J81" s="3"/>
      <c r="K81" s="15" t="e">
        <f t="shared" si="77"/>
        <v>#REF!</v>
      </c>
      <c r="L81" s="289" t="e">
        <f t="shared" si="73"/>
        <v>#REF!</v>
      </c>
      <c r="M81" s="282"/>
      <c r="N81" s="3"/>
      <c r="O81" s="3"/>
      <c r="P81" s="3"/>
      <c r="Q81" s="3"/>
      <c r="R81" s="3"/>
      <c r="S81" s="3"/>
      <c r="T81" s="3"/>
      <c r="U81" s="3">
        <v>0</v>
      </c>
      <c r="V81" s="3" t="e">
        <f>'18年合同登记表'!#REF!</f>
        <v>#REF!</v>
      </c>
      <c r="W81" s="297" t="e">
        <f>'18年合同登记表'!#REF!</f>
        <v>#REF!</v>
      </c>
      <c r="X81" s="15" t="e">
        <f t="shared" si="78"/>
        <v>#REF!</v>
      </c>
      <c r="Y81" s="289" t="e">
        <f t="shared" si="75"/>
        <v>#REF!</v>
      </c>
      <c r="Z81" s="280" t="e">
        <f t="shared" si="79"/>
        <v>#REF!</v>
      </c>
      <c r="AA81" s="15" t="e">
        <f t="shared" si="80"/>
        <v>#REF!</v>
      </c>
      <c r="AB81" s="15" t="e">
        <f t="shared" si="81"/>
        <v>#REF!</v>
      </c>
      <c r="AC81" s="15" t="e">
        <f t="shared" si="82"/>
        <v>#REF!</v>
      </c>
      <c r="AD81" s="15" t="e">
        <f t="shared" si="83"/>
        <v>#REF!</v>
      </c>
      <c r="AE81" s="15" t="e">
        <f t="shared" si="84"/>
        <v>#REF!</v>
      </c>
      <c r="AF81" s="281" t="e">
        <f t="shared" si="85"/>
        <v>#REF!</v>
      </c>
      <c r="AG81" s="280" t="e">
        <f t="shared" si="86"/>
        <v>#REF!</v>
      </c>
      <c r="AH81" s="15" t="e">
        <f t="shared" si="87"/>
        <v>#REF!</v>
      </c>
      <c r="AI81" s="15" t="e">
        <f t="shared" si="88"/>
        <v>#REF!</v>
      </c>
      <c r="AJ81" s="15" t="e">
        <f t="shared" si="89"/>
        <v>#REF!</v>
      </c>
      <c r="AK81" s="49"/>
      <c r="AL81" s="15" t="e">
        <f t="shared" si="90"/>
        <v>#REF!</v>
      </c>
      <c r="AM81" s="49"/>
      <c r="AN81" s="15" t="e">
        <f t="shared" si="91"/>
        <v>#REF!</v>
      </c>
      <c r="AO81" s="49"/>
      <c r="AP81" s="15" t="e">
        <f t="shared" si="92"/>
        <v>#REF!</v>
      </c>
      <c r="AQ81" s="316"/>
    </row>
    <row r="82" spans="1:43">
      <c r="A82" s="285" t="s">
        <v>43</v>
      </c>
      <c r="B82" s="13"/>
      <c r="C82" s="286"/>
      <c r="D82" s="286">
        <f>'18年合同登记表'!M100</f>
        <v>9830092.5</v>
      </c>
      <c r="E82" s="13">
        <f t="shared" ref="E82" si="313">SUM(E74:E81)</f>
        <v>0</v>
      </c>
      <c r="F82" s="13">
        <f t="shared" ref="F82" si="314">SUM(F74:F81)</f>
        <v>0</v>
      </c>
      <c r="G82" s="13">
        <f t="shared" ref="G82" si="315">SUM(G74:G81)</f>
        <v>0</v>
      </c>
      <c r="H82" s="13">
        <f t="shared" ref="H82" si="316">SUM(H74:H81)</f>
        <v>0</v>
      </c>
      <c r="I82" s="13">
        <f t="shared" ref="I82" si="317">SUM(I74:I81)</f>
        <v>0</v>
      </c>
      <c r="J82" s="13">
        <f t="shared" ref="J82:K82" si="318">SUM(J74:J81)</f>
        <v>0</v>
      </c>
      <c r="K82" s="13" t="e">
        <f t="shared" si="318"/>
        <v>#REF!</v>
      </c>
      <c r="L82" s="290" t="e">
        <f t="shared" si="73"/>
        <v>#REF!</v>
      </c>
      <c r="M82" s="13">
        <f t="shared" ref="M82" si="319">SUM(M74:M81)</f>
        <v>0</v>
      </c>
      <c r="N82" s="13">
        <f t="shared" ref="N82" si="320">SUM(N74:N81)</f>
        <v>0</v>
      </c>
      <c r="O82" s="13">
        <f t="shared" ref="O82" si="321">SUM(O74:O81)</f>
        <v>0</v>
      </c>
      <c r="P82" s="13">
        <f t="shared" ref="P82" si="322">SUM(P74:P81)</f>
        <v>0</v>
      </c>
      <c r="Q82" s="13">
        <f t="shared" ref="Q82" si="323">SUM(Q74:Q81)</f>
        <v>0</v>
      </c>
      <c r="R82" s="13">
        <f t="shared" ref="R82" si="324">SUM(R74:R81)</f>
        <v>0</v>
      </c>
      <c r="S82" s="13">
        <f t="shared" ref="S82" si="325">SUM(S74:S81)</f>
        <v>0</v>
      </c>
      <c r="T82" s="13">
        <f t="shared" ref="T82" si="326">SUM(T74:T81)</f>
        <v>0</v>
      </c>
      <c r="U82" s="13">
        <f t="shared" ref="U82:V82" si="327">SUM(U74:U81)</f>
        <v>0</v>
      </c>
      <c r="V82" s="13" t="e">
        <f t="shared" si="327"/>
        <v>#REF!</v>
      </c>
      <c r="W82" s="298">
        <f>'18年合同登记表'!R100</f>
        <v>0.0964988366080991</v>
      </c>
      <c r="X82" s="13" t="e">
        <f>SUM(X74:X81)</f>
        <v>#REF!</v>
      </c>
      <c r="Y82" s="290" t="e">
        <f t="shared" si="75"/>
        <v>#REF!</v>
      </c>
      <c r="Z82" s="13" t="e">
        <f t="shared" ref="Z82" si="328">SUM(Z74:Z81)</f>
        <v>#REF!</v>
      </c>
      <c r="AA82" s="13" t="e">
        <f t="shared" ref="AA82" si="329">SUM(AA74:AA81)</f>
        <v>#REF!</v>
      </c>
      <c r="AB82" s="13" t="e">
        <f t="shared" ref="AB82" si="330">SUM(AB74:AB81)</f>
        <v>#REF!</v>
      </c>
      <c r="AC82" s="13" t="e">
        <f t="shared" ref="AC82" si="331">SUM(AC74:AC81)</f>
        <v>#REF!</v>
      </c>
      <c r="AD82" s="13" t="e">
        <f t="shared" ref="AD82" si="332">SUM(AD74:AD81)</f>
        <v>#REF!</v>
      </c>
      <c r="AE82" s="13" t="e">
        <f t="shared" ref="AE82" si="333">SUM(AE74:AE81)</f>
        <v>#REF!</v>
      </c>
      <c r="AF82" s="13" t="e">
        <f t="shared" ref="AF82" si="334">SUM(AF74:AF81)</f>
        <v>#REF!</v>
      </c>
      <c r="AG82" s="13" t="e">
        <f t="shared" ref="AG82" si="335">SUM(AG74:AG81)</f>
        <v>#REF!</v>
      </c>
      <c r="AH82" s="13" t="e">
        <f t="shared" ref="AH82" si="336">SUM(AH74:AH81)</f>
        <v>#REF!</v>
      </c>
      <c r="AI82" s="13" t="e">
        <f t="shared" ref="AI82" si="337">SUM(AI74:AI81)</f>
        <v>#REF!</v>
      </c>
      <c r="AJ82" s="13" t="e">
        <f t="shared" ref="AJ82" si="338">SUM(AJ74:AJ81)</f>
        <v>#REF!</v>
      </c>
      <c r="AK82" s="13">
        <f t="shared" ref="AK82" si="339">SUM(AK74:AK81)</f>
        <v>0</v>
      </c>
      <c r="AL82" s="13" t="e">
        <f t="shared" ref="AL82" si="340">SUM(AL74:AL81)</f>
        <v>#REF!</v>
      </c>
      <c r="AM82" s="13">
        <f t="shared" ref="AM82" si="341">SUM(AM74:AM81)</f>
        <v>0</v>
      </c>
      <c r="AN82" s="13" t="e">
        <f t="shared" ref="AN82" si="342">SUM(AN74:AN81)</f>
        <v>#REF!</v>
      </c>
      <c r="AO82" s="13">
        <f t="shared" ref="AO82" si="343">SUM(AO74:AO81)</f>
        <v>0</v>
      </c>
      <c r="AP82" s="13" t="e">
        <f t="shared" ref="AP82" si="344">SUM(AP74:AP81)</f>
        <v>#REF!</v>
      </c>
      <c r="AQ82" s="13">
        <f t="shared" ref="AQ82" si="345">SUM(AQ74:AQ81)</f>
        <v>0</v>
      </c>
    </row>
    <row r="83" spans="1:43">
      <c r="A83" s="285" t="s">
        <v>44</v>
      </c>
      <c r="B83" s="13"/>
      <c r="C83" s="286"/>
      <c r="D83" s="286">
        <f>'18年合同登记表'!M101</f>
        <v>15881026.97</v>
      </c>
      <c r="E83" s="13">
        <f t="shared" ref="E83" si="346">E73+E82</f>
        <v>97470</v>
      </c>
      <c r="F83" s="13">
        <f t="shared" ref="F83" si="347">F73+F82</f>
        <v>509816</v>
      </c>
      <c r="G83" s="13">
        <f t="shared" ref="G83" si="348">G73+G82</f>
        <v>130076.3</v>
      </c>
      <c r="H83" s="13">
        <f t="shared" ref="H83" si="349">H73+H82</f>
        <v>134561</v>
      </c>
      <c r="I83" s="13">
        <f t="shared" ref="I83" si="350">I73+I82</f>
        <v>66251</v>
      </c>
      <c r="J83" s="13">
        <f t="shared" ref="J83:K83" si="351">J73+J82</f>
        <v>13577</v>
      </c>
      <c r="K83" s="13" t="e">
        <f t="shared" si="351"/>
        <v>#REF!</v>
      </c>
      <c r="L83" s="290" t="e">
        <f t="shared" si="73"/>
        <v>#REF!</v>
      </c>
      <c r="M83" s="13">
        <f t="shared" ref="M83" si="352">M73+M82</f>
        <v>330</v>
      </c>
      <c r="N83" s="13">
        <f t="shared" ref="N83" si="353">N73+N82</f>
        <v>5495</v>
      </c>
      <c r="O83" s="13">
        <f t="shared" ref="O83" si="354">O73+O82</f>
        <v>2620.2</v>
      </c>
      <c r="P83" s="13">
        <f t="shared" ref="P83" si="355">P73+P82</f>
        <v>5000</v>
      </c>
      <c r="Q83" s="13">
        <f t="shared" ref="Q83" si="356">Q73+Q82</f>
        <v>1650</v>
      </c>
      <c r="R83" s="13">
        <f t="shared" ref="R83" si="357">R73+R82</f>
        <v>330</v>
      </c>
      <c r="S83" s="13">
        <f t="shared" ref="S83" si="358">S73+S82</f>
        <v>0</v>
      </c>
      <c r="T83" s="13">
        <f t="shared" ref="T83" si="359">T73+T82</f>
        <v>0</v>
      </c>
      <c r="U83" s="13">
        <f t="shared" ref="U83:V83" si="360">U73+U82</f>
        <v>0</v>
      </c>
      <c r="V83" s="13" t="e">
        <f t="shared" si="360"/>
        <v>#REF!</v>
      </c>
      <c r="W83" s="298">
        <f>'18年合同登记表'!R101</f>
        <v>0.326066609532368</v>
      </c>
      <c r="X83" s="13" t="e">
        <f>X73+X82</f>
        <v>#REF!</v>
      </c>
      <c r="Y83" s="290" t="e">
        <f t="shared" si="75"/>
        <v>#REF!</v>
      </c>
      <c r="Z83" s="13" t="e">
        <f t="shared" ref="Z83" si="361">Z73+Z82</f>
        <v>#REF!</v>
      </c>
      <c r="AA83" s="13" t="e">
        <f t="shared" ref="AA83" si="362">AA73+AA82</f>
        <v>#REF!</v>
      </c>
      <c r="AB83" s="13" t="e">
        <f t="shared" ref="AB83" si="363">AB73+AB82</f>
        <v>#REF!</v>
      </c>
      <c r="AC83" s="13" t="e">
        <f t="shared" ref="AC83" si="364">AC73+AC82</f>
        <v>#REF!</v>
      </c>
      <c r="AD83" s="13" t="e">
        <f t="shared" ref="AD83" si="365">AD73+AD82</f>
        <v>#REF!</v>
      </c>
      <c r="AE83" s="13" t="e">
        <f t="shared" ref="AE83" si="366">AE73+AE82</f>
        <v>#REF!</v>
      </c>
      <c r="AF83" s="13" t="e">
        <f t="shared" ref="AF83" si="367">AF73+AF82</f>
        <v>#REF!</v>
      </c>
      <c r="AG83" s="13" t="e">
        <f t="shared" ref="AG83" si="368">AG73+AG82</f>
        <v>#REF!</v>
      </c>
      <c r="AH83" s="13" t="e">
        <f t="shared" ref="AH83" si="369">AH73+AH82</f>
        <v>#REF!</v>
      </c>
      <c r="AI83" s="13" t="e">
        <f t="shared" ref="AI83" si="370">AI73+AI82</f>
        <v>#REF!</v>
      </c>
      <c r="AJ83" s="13" t="e">
        <f t="shared" ref="AJ83" si="371">AJ73+AJ82</f>
        <v>#REF!</v>
      </c>
      <c r="AK83" s="13">
        <f t="shared" ref="AK83" si="372">AK73+AK82</f>
        <v>0</v>
      </c>
      <c r="AL83" s="13" t="e">
        <f t="shared" ref="AL83" si="373">AL73+AL82</f>
        <v>#REF!</v>
      </c>
      <c r="AM83" s="13">
        <f t="shared" ref="AM83" si="374">AM73+AM82</f>
        <v>0</v>
      </c>
      <c r="AN83" s="13" t="e">
        <f t="shared" ref="AN83" si="375">AN73+AN82</f>
        <v>#REF!</v>
      </c>
      <c r="AO83" s="13">
        <f t="shared" ref="AO83" si="376">AO73+AO82</f>
        <v>0</v>
      </c>
      <c r="AP83" s="13" t="e">
        <f t="shared" ref="AP83" si="377">AP73+AP82</f>
        <v>#REF!</v>
      </c>
      <c r="AQ83" s="13">
        <f t="shared" ref="AQ83" si="378">AQ73+AQ82</f>
        <v>0</v>
      </c>
    </row>
    <row r="84" spans="1:43">
      <c r="A84" s="280" t="str">
        <f>'18年合同登记表'!F102</f>
        <v>富达广场</v>
      </c>
      <c r="B84" s="15" t="str">
        <f>'18年合同登记表'!I102</f>
        <v>螺杆机清洗预膜、维保</v>
      </c>
      <c r="C84" s="281" t="str">
        <f>'18年合同登记表'!L102</f>
        <v>徐利斌</v>
      </c>
      <c r="D84" s="281">
        <f>'18年合同登记表'!M102</f>
        <v>87000</v>
      </c>
      <c r="E84" s="282"/>
      <c r="F84" s="3"/>
      <c r="G84" s="3"/>
      <c r="H84" s="3"/>
      <c r="I84" s="3"/>
      <c r="J84" s="3"/>
      <c r="K84" s="15">
        <f t="shared" si="77"/>
        <v>87000</v>
      </c>
      <c r="L84" s="289">
        <f t="shared" si="73"/>
        <v>1</v>
      </c>
      <c r="M84" s="282"/>
      <c r="N84" s="3"/>
      <c r="O84" s="3"/>
      <c r="P84" s="3"/>
      <c r="Q84" s="3"/>
      <c r="R84" s="3"/>
      <c r="S84" s="3"/>
      <c r="T84" s="3"/>
      <c r="U84" s="3">
        <v>0</v>
      </c>
      <c r="V84" s="3">
        <f>'18年合同登记表'!Q102</f>
        <v>87000</v>
      </c>
      <c r="W84" s="297">
        <f>'18年合同登记表'!R102</f>
        <v>1</v>
      </c>
      <c r="X84" s="15">
        <f t="shared" si="78"/>
        <v>87000</v>
      </c>
      <c r="Y84" s="289">
        <f t="shared" si="75"/>
        <v>1</v>
      </c>
      <c r="Z84" s="280">
        <f t="shared" si="79"/>
        <v>73950</v>
      </c>
      <c r="AA84" s="15">
        <f t="shared" si="80"/>
        <v>13050</v>
      </c>
      <c r="AB84" s="15">
        <f t="shared" si="81"/>
        <v>2610</v>
      </c>
      <c r="AC84" s="15">
        <f t="shared" si="82"/>
        <v>8874</v>
      </c>
      <c r="AD84" s="15">
        <f t="shared" si="83"/>
        <v>835.2</v>
      </c>
      <c r="AE84" s="15">
        <f t="shared" si="84"/>
        <v>522</v>
      </c>
      <c r="AF84" s="281">
        <f t="shared" si="85"/>
        <v>208.8</v>
      </c>
      <c r="AG84" s="280">
        <f t="shared" si="86"/>
        <v>73950</v>
      </c>
      <c r="AH84" s="15">
        <f t="shared" si="87"/>
        <v>13050</v>
      </c>
      <c r="AI84" s="15">
        <f t="shared" si="88"/>
        <v>2610</v>
      </c>
      <c r="AJ84" s="15">
        <f t="shared" si="89"/>
        <v>8874</v>
      </c>
      <c r="AK84" s="49"/>
      <c r="AL84" s="15">
        <f t="shared" si="90"/>
        <v>835.2</v>
      </c>
      <c r="AM84" s="49"/>
      <c r="AN84" s="15">
        <f t="shared" si="91"/>
        <v>522</v>
      </c>
      <c r="AO84" s="49"/>
      <c r="AP84" s="15">
        <f t="shared" si="92"/>
        <v>208.8</v>
      </c>
      <c r="AQ84" s="316"/>
    </row>
    <row r="85" spans="1:43">
      <c r="A85" s="280" t="str">
        <f>'18年合同登记表'!F103</f>
        <v>都会国际</v>
      </c>
      <c r="B85" s="15" t="str">
        <f>'18年合同登记表'!I103</f>
        <v>离心机冷凝器化学清洗</v>
      </c>
      <c r="C85" s="281" t="str">
        <f>'18年合同登记表'!L103</f>
        <v>徐利斌</v>
      </c>
      <c r="D85" s="281">
        <f>'18年合同登记表'!M103</f>
        <v>8000</v>
      </c>
      <c r="E85" s="282"/>
      <c r="F85" s="3"/>
      <c r="G85" s="3"/>
      <c r="H85" s="3"/>
      <c r="I85" s="3"/>
      <c r="J85" s="3"/>
      <c r="K85" s="15">
        <f t="shared" si="77"/>
        <v>8000</v>
      </c>
      <c r="L85" s="289">
        <f t="shared" si="73"/>
        <v>1</v>
      </c>
      <c r="M85" s="282"/>
      <c r="N85" s="3"/>
      <c r="O85" s="3"/>
      <c r="P85" s="3"/>
      <c r="Q85" s="3"/>
      <c r="R85" s="3"/>
      <c r="S85" s="3"/>
      <c r="T85" s="3"/>
      <c r="U85" s="3">
        <v>0</v>
      </c>
      <c r="V85" s="3">
        <f>'18年合同登记表'!Q103</f>
        <v>8000</v>
      </c>
      <c r="W85" s="297">
        <f>'18年合同登记表'!R103</f>
        <v>1</v>
      </c>
      <c r="X85" s="15">
        <f t="shared" si="78"/>
        <v>8000</v>
      </c>
      <c r="Y85" s="289">
        <f t="shared" si="75"/>
        <v>1</v>
      </c>
      <c r="Z85" s="280">
        <f t="shared" si="79"/>
        <v>6800</v>
      </c>
      <c r="AA85" s="15">
        <f t="shared" si="80"/>
        <v>1200</v>
      </c>
      <c r="AB85" s="15">
        <f t="shared" si="81"/>
        <v>240</v>
      </c>
      <c r="AC85" s="15">
        <f t="shared" si="82"/>
        <v>816</v>
      </c>
      <c r="AD85" s="15">
        <f t="shared" si="83"/>
        <v>76.8</v>
      </c>
      <c r="AE85" s="15">
        <f t="shared" si="84"/>
        <v>48</v>
      </c>
      <c r="AF85" s="281">
        <f t="shared" si="85"/>
        <v>19.2</v>
      </c>
      <c r="AG85" s="280">
        <f t="shared" si="86"/>
        <v>6800</v>
      </c>
      <c r="AH85" s="15">
        <f t="shared" si="87"/>
        <v>1200</v>
      </c>
      <c r="AI85" s="15">
        <f t="shared" si="88"/>
        <v>240</v>
      </c>
      <c r="AJ85" s="15">
        <f t="shared" si="89"/>
        <v>816</v>
      </c>
      <c r="AK85" s="49"/>
      <c r="AL85" s="15">
        <f t="shared" si="90"/>
        <v>76.8</v>
      </c>
      <c r="AM85" s="49"/>
      <c r="AN85" s="15">
        <f t="shared" si="91"/>
        <v>48</v>
      </c>
      <c r="AO85" s="49"/>
      <c r="AP85" s="15">
        <f t="shared" si="92"/>
        <v>19.2</v>
      </c>
      <c r="AQ85" s="316"/>
    </row>
    <row r="86" spans="1:43">
      <c r="A86" s="280" t="str">
        <f>'18年合同登记表'!F104</f>
        <v>百川燃气</v>
      </c>
      <c r="B86" s="15" t="str">
        <f>'18年合同登记表'!I104</f>
        <v>冷却塔更换电机、风扇轴承、冷却塔填料布水盘清洗项目</v>
      </c>
      <c r="C86" s="281" t="str">
        <f>'18年合同登记表'!L104</f>
        <v>陈勇</v>
      </c>
      <c r="D86" s="281">
        <f>'18年合同登记表'!M104</f>
        <v>19600</v>
      </c>
      <c r="E86" s="282"/>
      <c r="F86" s="3"/>
      <c r="G86" s="3"/>
      <c r="H86" s="3"/>
      <c r="I86" s="3"/>
      <c r="J86" s="3"/>
      <c r="K86" s="15">
        <f t="shared" si="77"/>
        <v>19600</v>
      </c>
      <c r="L86" s="289">
        <f t="shared" si="73"/>
        <v>1</v>
      </c>
      <c r="M86" s="282"/>
      <c r="N86" s="3"/>
      <c r="O86" s="3"/>
      <c r="P86" s="3"/>
      <c r="Q86" s="3"/>
      <c r="R86" s="3"/>
      <c r="S86" s="3"/>
      <c r="T86" s="3"/>
      <c r="U86" s="3">
        <v>0</v>
      </c>
      <c r="V86" s="3">
        <f>'18年合同登记表'!Q104</f>
        <v>19600</v>
      </c>
      <c r="W86" s="297">
        <f>'18年合同登记表'!R104</f>
        <v>1</v>
      </c>
      <c r="X86" s="15">
        <f t="shared" si="78"/>
        <v>19600</v>
      </c>
      <c r="Y86" s="289">
        <f t="shared" si="75"/>
        <v>1</v>
      </c>
      <c r="Z86" s="280">
        <f t="shared" si="79"/>
        <v>16660</v>
      </c>
      <c r="AA86" s="15">
        <f t="shared" si="80"/>
        <v>2940</v>
      </c>
      <c r="AB86" s="15">
        <f t="shared" si="81"/>
        <v>588</v>
      </c>
      <c r="AC86" s="15">
        <f t="shared" si="82"/>
        <v>1999.2</v>
      </c>
      <c r="AD86" s="15">
        <f t="shared" si="83"/>
        <v>188.16</v>
      </c>
      <c r="AE86" s="15">
        <f t="shared" si="84"/>
        <v>117.6</v>
      </c>
      <c r="AF86" s="281">
        <f t="shared" si="85"/>
        <v>47.04</v>
      </c>
      <c r="AG86" s="280">
        <f t="shared" si="86"/>
        <v>16660</v>
      </c>
      <c r="AH86" s="15">
        <f t="shared" si="87"/>
        <v>2940</v>
      </c>
      <c r="AI86" s="15">
        <f t="shared" si="88"/>
        <v>588</v>
      </c>
      <c r="AJ86" s="15">
        <f t="shared" si="89"/>
        <v>1999.2</v>
      </c>
      <c r="AK86" s="49"/>
      <c r="AL86" s="15">
        <f t="shared" si="90"/>
        <v>188.16</v>
      </c>
      <c r="AM86" s="49"/>
      <c r="AN86" s="15">
        <f t="shared" si="91"/>
        <v>117.6</v>
      </c>
      <c r="AO86" s="49"/>
      <c r="AP86" s="15">
        <f t="shared" si="92"/>
        <v>47.04</v>
      </c>
      <c r="AQ86" s="316"/>
    </row>
    <row r="87" spans="1:43">
      <c r="A87" s="280" t="str">
        <f>'18年合同登记表'!F105</f>
        <v>燕郊印刷厂</v>
      </c>
      <c r="B87" s="15" t="str">
        <f>'18年合同登记表'!I105</f>
        <v>离心机冷凝器清洗预膜</v>
      </c>
      <c r="C87" s="281" t="str">
        <f>'18年合同登记表'!L105</f>
        <v>陈勇</v>
      </c>
      <c r="D87" s="281">
        <f>'18年合同登记表'!M105</f>
        <v>5000</v>
      </c>
      <c r="E87" s="282"/>
      <c r="F87" s="3"/>
      <c r="G87" s="3"/>
      <c r="H87" s="3"/>
      <c r="I87" s="3"/>
      <c r="J87" s="3"/>
      <c r="K87" s="15">
        <f t="shared" si="77"/>
        <v>5000</v>
      </c>
      <c r="L87" s="289">
        <f t="shared" si="73"/>
        <v>1</v>
      </c>
      <c r="M87" s="282"/>
      <c r="N87" s="3"/>
      <c r="O87" s="3"/>
      <c r="P87" s="3"/>
      <c r="Q87" s="3"/>
      <c r="R87" s="3"/>
      <c r="S87" s="3"/>
      <c r="T87" s="3"/>
      <c r="U87" s="3">
        <v>0</v>
      </c>
      <c r="V87" s="3">
        <f>'18年合同登记表'!Q105</f>
        <v>5000</v>
      </c>
      <c r="W87" s="297">
        <f>'18年合同登记表'!R105</f>
        <v>1</v>
      </c>
      <c r="X87" s="15">
        <f t="shared" si="78"/>
        <v>5000</v>
      </c>
      <c r="Y87" s="289">
        <f t="shared" si="75"/>
        <v>1</v>
      </c>
      <c r="Z87" s="280">
        <f t="shared" si="79"/>
        <v>4250</v>
      </c>
      <c r="AA87" s="15">
        <f t="shared" si="80"/>
        <v>750</v>
      </c>
      <c r="AB87" s="15">
        <f t="shared" si="81"/>
        <v>150</v>
      </c>
      <c r="AC87" s="15">
        <f t="shared" si="82"/>
        <v>510</v>
      </c>
      <c r="AD87" s="15">
        <f t="shared" si="83"/>
        <v>48</v>
      </c>
      <c r="AE87" s="15">
        <f t="shared" si="84"/>
        <v>30</v>
      </c>
      <c r="AF87" s="281">
        <f t="shared" si="85"/>
        <v>12</v>
      </c>
      <c r="AG87" s="280">
        <f t="shared" si="86"/>
        <v>4250</v>
      </c>
      <c r="AH87" s="15">
        <f t="shared" si="87"/>
        <v>750</v>
      </c>
      <c r="AI87" s="15">
        <f t="shared" si="88"/>
        <v>150</v>
      </c>
      <c r="AJ87" s="15">
        <f t="shared" si="89"/>
        <v>510</v>
      </c>
      <c r="AK87" s="49"/>
      <c r="AL87" s="15">
        <f t="shared" si="90"/>
        <v>48</v>
      </c>
      <c r="AM87" s="49"/>
      <c r="AN87" s="15">
        <f t="shared" si="91"/>
        <v>30</v>
      </c>
      <c r="AO87" s="49"/>
      <c r="AP87" s="15">
        <f t="shared" si="92"/>
        <v>12</v>
      </c>
      <c r="AQ87" s="316"/>
    </row>
    <row r="88" spans="1:43">
      <c r="A88" s="280" t="str">
        <f>'18年合同登记表'!F106</f>
        <v>天宝新都汇</v>
      </c>
      <c r="B88" s="15" t="str">
        <f>'18年合同登记表'!I106</f>
        <v>同方川崎直燃机吸收器、冷凝器清洗预膜</v>
      </c>
      <c r="C88" s="281" t="str">
        <f>'18年合同登记表'!L106</f>
        <v>陈勇</v>
      </c>
      <c r="D88" s="281">
        <f>'18年合同登记表'!M106</f>
        <v>10500</v>
      </c>
      <c r="E88" s="282"/>
      <c r="F88" s="3"/>
      <c r="G88" s="3"/>
      <c r="H88" s="3"/>
      <c r="I88" s="3"/>
      <c r="J88" s="3"/>
      <c r="K88" s="15">
        <f t="shared" si="77"/>
        <v>10500</v>
      </c>
      <c r="L88" s="289">
        <f t="shared" si="73"/>
        <v>1</v>
      </c>
      <c r="M88" s="282"/>
      <c r="N88" s="3"/>
      <c r="O88" s="3"/>
      <c r="P88" s="3"/>
      <c r="Q88" s="3"/>
      <c r="R88" s="3"/>
      <c r="S88" s="3"/>
      <c r="T88" s="3"/>
      <c r="U88" s="3">
        <v>0</v>
      </c>
      <c r="V88" s="3">
        <f>'18年合同登记表'!Q106</f>
        <v>10500</v>
      </c>
      <c r="W88" s="297">
        <f>'18年合同登记表'!R106</f>
        <v>1</v>
      </c>
      <c r="X88" s="15">
        <f t="shared" si="78"/>
        <v>10500</v>
      </c>
      <c r="Y88" s="289">
        <f t="shared" si="75"/>
        <v>1</v>
      </c>
      <c r="Z88" s="280">
        <f t="shared" si="79"/>
        <v>8925</v>
      </c>
      <c r="AA88" s="15">
        <f t="shared" si="80"/>
        <v>1575</v>
      </c>
      <c r="AB88" s="15">
        <f t="shared" si="81"/>
        <v>315</v>
      </c>
      <c r="AC88" s="15">
        <f t="shared" si="82"/>
        <v>1071</v>
      </c>
      <c r="AD88" s="15">
        <f t="shared" si="83"/>
        <v>100.8</v>
      </c>
      <c r="AE88" s="15">
        <f t="shared" si="84"/>
        <v>63</v>
      </c>
      <c r="AF88" s="281">
        <f t="shared" si="85"/>
        <v>25.2</v>
      </c>
      <c r="AG88" s="280">
        <f t="shared" si="86"/>
        <v>8925</v>
      </c>
      <c r="AH88" s="15">
        <f t="shared" si="87"/>
        <v>1575</v>
      </c>
      <c r="AI88" s="15">
        <f t="shared" si="88"/>
        <v>315</v>
      </c>
      <c r="AJ88" s="15">
        <f t="shared" si="89"/>
        <v>1071</v>
      </c>
      <c r="AK88" s="49"/>
      <c r="AL88" s="15">
        <f t="shared" si="90"/>
        <v>100.8</v>
      </c>
      <c r="AM88" s="49"/>
      <c r="AN88" s="15">
        <f t="shared" si="91"/>
        <v>63</v>
      </c>
      <c r="AO88" s="49"/>
      <c r="AP88" s="15">
        <f t="shared" si="92"/>
        <v>25.2</v>
      </c>
      <c r="AQ88" s="316"/>
    </row>
    <row r="89" spans="1:43">
      <c r="A89" s="280" t="str">
        <f>'18年合同登记表'!F107</f>
        <v>国勤</v>
      </c>
      <c r="B89" s="15" t="str">
        <f>'18年合同登记表'!I107</f>
        <v>直燃机年度维保技术服务</v>
      </c>
      <c r="C89" s="281" t="str">
        <f>'18年合同登记表'!L107</f>
        <v>陈勇</v>
      </c>
      <c r="D89" s="281">
        <f>'18年合同登记表'!M107</f>
        <v>27500</v>
      </c>
      <c r="E89" s="282"/>
      <c r="F89" s="3"/>
      <c r="G89" s="3"/>
      <c r="H89" s="3"/>
      <c r="I89" s="3"/>
      <c r="J89" s="3"/>
      <c r="K89" s="15">
        <f t="shared" si="77"/>
        <v>27500</v>
      </c>
      <c r="L89" s="289">
        <f t="shared" si="73"/>
        <v>1</v>
      </c>
      <c r="M89" s="282"/>
      <c r="N89" s="3"/>
      <c r="O89" s="3"/>
      <c r="P89" s="3"/>
      <c r="Q89" s="3"/>
      <c r="R89" s="3"/>
      <c r="S89" s="3"/>
      <c r="T89" s="3"/>
      <c r="U89" s="3">
        <v>0</v>
      </c>
      <c r="V89" s="3">
        <f>'18年合同登记表'!Q107</f>
        <v>27500</v>
      </c>
      <c r="W89" s="297">
        <f>'18年合同登记表'!R107</f>
        <v>1</v>
      </c>
      <c r="X89" s="15">
        <f t="shared" si="78"/>
        <v>27500</v>
      </c>
      <c r="Y89" s="289">
        <f t="shared" si="75"/>
        <v>1</v>
      </c>
      <c r="Z89" s="280">
        <f t="shared" si="79"/>
        <v>23375</v>
      </c>
      <c r="AA89" s="15">
        <f t="shared" si="80"/>
        <v>4125</v>
      </c>
      <c r="AB89" s="15">
        <f t="shared" si="81"/>
        <v>825</v>
      </c>
      <c r="AC89" s="15">
        <f t="shared" si="82"/>
        <v>2805</v>
      </c>
      <c r="AD89" s="15">
        <f t="shared" si="83"/>
        <v>264</v>
      </c>
      <c r="AE89" s="15">
        <f t="shared" si="84"/>
        <v>165</v>
      </c>
      <c r="AF89" s="281">
        <f t="shared" si="85"/>
        <v>66</v>
      </c>
      <c r="AG89" s="280">
        <f t="shared" si="86"/>
        <v>23375</v>
      </c>
      <c r="AH89" s="15">
        <f t="shared" si="87"/>
        <v>4125</v>
      </c>
      <c r="AI89" s="15">
        <f t="shared" si="88"/>
        <v>825</v>
      </c>
      <c r="AJ89" s="15">
        <f t="shared" si="89"/>
        <v>2805</v>
      </c>
      <c r="AK89" s="49"/>
      <c r="AL89" s="15">
        <f t="shared" si="90"/>
        <v>264</v>
      </c>
      <c r="AM89" s="49"/>
      <c r="AN89" s="15">
        <f t="shared" si="91"/>
        <v>165</v>
      </c>
      <c r="AO89" s="49"/>
      <c r="AP89" s="15">
        <f t="shared" si="92"/>
        <v>66</v>
      </c>
      <c r="AQ89" s="316"/>
    </row>
    <row r="90" spans="1:43">
      <c r="A90" s="280" t="str">
        <f>'18年合同登记表'!F93</f>
        <v>天下第一城</v>
      </c>
      <c r="B90" s="15" t="str">
        <f>'18年合同登记表'!I93</f>
        <v>西便门3#机内漏处理方案</v>
      </c>
      <c r="C90" s="281" t="str">
        <f>'18年合同登记表'!L93</f>
        <v>陈勇</v>
      </c>
      <c r="D90" s="281">
        <f>'18年合同登记表'!M93</f>
        <v>6500</v>
      </c>
      <c r="E90" s="282"/>
      <c r="F90" s="3"/>
      <c r="G90" s="3"/>
      <c r="H90" s="3"/>
      <c r="I90" s="3"/>
      <c r="J90" s="3"/>
      <c r="K90" s="15">
        <f t="shared" ref="K90:K91" si="379">D90-E90-F90-G90-H90-I90-J90</f>
        <v>6500</v>
      </c>
      <c r="L90" s="289">
        <f t="shared" ref="L90:L144" si="380">K90/D90</f>
        <v>1</v>
      </c>
      <c r="M90" s="282"/>
      <c r="N90" s="3"/>
      <c r="O90" s="3"/>
      <c r="P90" s="3"/>
      <c r="Q90" s="3"/>
      <c r="R90" s="3"/>
      <c r="S90" s="3"/>
      <c r="T90" s="3"/>
      <c r="U90" s="3">
        <v>0</v>
      </c>
      <c r="V90" s="3">
        <f>'18年合同登记表'!Q93</f>
        <v>6500</v>
      </c>
      <c r="W90" s="297">
        <f>'18年合同登记表'!R93</f>
        <v>1</v>
      </c>
      <c r="X90" s="15">
        <f t="shared" ref="X90:X93" si="381">D90-M90-N90-O90-P90-Q90-R90-U90</f>
        <v>6500</v>
      </c>
      <c r="Y90" s="289">
        <f t="shared" ref="Y90:Y143" si="382">X90/D90</f>
        <v>1</v>
      </c>
      <c r="Z90" s="280">
        <f t="shared" ref="Z90:Z143" si="383">K90*0.85</f>
        <v>5525</v>
      </c>
      <c r="AA90" s="15">
        <f t="shared" ref="AA90:AA143" si="384">K90*0.15</f>
        <v>975</v>
      </c>
      <c r="AB90" s="15">
        <f t="shared" ref="AB90:AB143" si="385">AA90*0.2</f>
        <v>195</v>
      </c>
      <c r="AC90" s="15">
        <f t="shared" ref="AC90:AC143" si="386">AA90*0.8*0.85</f>
        <v>663</v>
      </c>
      <c r="AD90" s="15">
        <f t="shared" ref="AD90:AD143" si="387">AA90*0.8*0.08</f>
        <v>62.4</v>
      </c>
      <c r="AE90" s="15">
        <f t="shared" ref="AE90:AE143" si="388">AA90*0.8*0.05</f>
        <v>39</v>
      </c>
      <c r="AF90" s="281">
        <f t="shared" ref="AF90:AF143" si="389">AA90*0.8*0.02</f>
        <v>15.6</v>
      </c>
      <c r="AG90" s="280">
        <f t="shared" ref="AG90:AG143" si="390">X90*0.85</f>
        <v>5525</v>
      </c>
      <c r="AH90" s="15">
        <f t="shared" ref="AH90:AH143" si="391">X90*0.15</f>
        <v>975</v>
      </c>
      <c r="AI90" s="15">
        <f t="shared" ref="AI90:AI143" si="392">AH90*0.2*W90</f>
        <v>195</v>
      </c>
      <c r="AJ90" s="15">
        <f t="shared" ref="AJ90:AJ143" si="393">AH90*0.8*0.85*W90</f>
        <v>663</v>
      </c>
      <c r="AK90" s="49"/>
      <c r="AL90" s="15">
        <f t="shared" ref="AL90:AL143" si="394">AH90*0.8*0.08*W90</f>
        <v>62.4</v>
      </c>
      <c r="AM90" s="49"/>
      <c r="AN90" s="15">
        <f t="shared" ref="AN90:AN143" si="395">AH90*0.8*0.05*W90</f>
        <v>39</v>
      </c>
      <c r="AO90" s="49"/>
      <c r="AP90" s="15">
        <f t="shared" ref="AP90:AP143" si="396">AH90*0.8*0.02*W90</f>
        <v>15.6</v>
      </c>
      <c r="AQ90" s="316"/>
    </row>
    <row r="91" spans="1:43">
      <c r="A91" s="280" t="e">
        <f>'18年合同登记表'!#REF!</f>
        <v>#REF!</v>
      </c>
      <c r="B91" s="15" t="e">
        <f>'18年合同登记表'!#REF!</f>
        <v>#REF!</v>
      </c>
      <c r="C91" s="281" t="e">
        <f>'18年合同登记表'!#REF!</f>
        <v>#REF!</v>
      </c>
      <c r="D91" s="281" t="e">
        <f>'18年合同登记表'!#REF!</f>
        <v>#REF!</v>
      </c>
      <c r="E91" s="282"/>
      <c r="F91" s="3"/>
      <c r="G91" s="3"/>
      <c r="H91" s="3"/>
      <c r="I91" s="3"/>
      <c r="J91" s="3"/>
      <c r="K91" s="15" t="e">
        <f t="shared" si="379"/>
        <v>#REF!</v>
      </c>
      <c r="L91" s="289" t="e">
        <f t="shared" si="380"/>
        <v>#REF!</v>
      </c>
      <c r="M91" s="282"/>
      <c r="N91" s="3"/>
      <c r="O91" s="3"/>
      <c r="P91" s="3"/>
      <c r="Q91" s="3"/>
      <c r="R91" s="3"/>
      <c r="S91" s="3"/>
      <c r="T91" s="3"/>
      <c r="U91" s="3">
        <v>0</v>
      </c>
      <c r="V91" s="3" t="e">
        <f>'18年合同登记表'!#REF!</f>
        <v>#REF!</v>
      </c>
      <c r="W91" s="297" t="e">
        <f>'18年合同登记表'!#REF!</f>
        <v>#REF!</v>
      </c>
      <c r="X91" s="15" t="e">
        <f t="shared" si="381"/>
        <v>#REF!</v>
      </c>
      <c r="Y91" s="289" t="e">
        <f t="shared" si="382"/>
        <v>#REF!</v>
      </c>
      <c r="Z91" s="280" t="e">
        <f t="shared" si="383"/>
        <v>#REF!</v>
      </c>
      <c r="AA91" s="15" t="e">
        <f t="shared" si="384"/>
        <v>#REF!</v>
      </c>
      <c r="AB91" s="15" t="e">
        <f t="shared" si="385"/>
        <v>#REF!</v>
      </c>
      <c r="AC91" s="15" t="e">
        <f t="shared" si="386"/>
        <v>#REF!</v>
      </c>
      <c r="AD91" s="15" t="e">
        <f t="shared" si="387"/>
        <v>#REF!</v>
      </c>
      <c r="AE91" s="15" t="e">
        <f t="shared" si="388"/>
        <v>#REF!</v>
      </c>
      <c r="AF91" s="281" t="e">
        <f t="shared" si="389"/>
        <v>#REF!</v>
      </c>
      <c r="AG91" s="280" t="e">
        <f t="shared" si="390"/>
        <v>#REF!</v>
      </c>
      <c r="AH91" s="15" t="e">
        <f t="shared" si="391"/>
        <v>#REF!</v>
      </c>
      <c r="AI91" s="15" t="e">
        <f t="shared" si="392"/>
        <v>#REF!</v>
      </c>
      <c r="AJ91" s="15" t="e">
        <f t="shared" si="393"/>
        <v>#REF!</v>
      </c>
      <c r="AK91" s="49"/>
      <c r="AL91" s="15" t="e">
        <f t="shared" si="394"/>
        <v>#REF!</v>
      </c>
      <c r="AM91" s="49"/>
      <c r="AN91" s="15" t="e">
        <f t="shared" si="395"/>
        <v>#REF!</v>
      </c>
      <c r="AO91" s="49"/>
      <c r="AP91" s="15" t="e">
        <f t="shared" si="396"/>
        <v>#REF!</v>
      </c>
      <c r="AQ91" s="316"/>
    </row>
    <row r="92" spans="1:43">
      <c r="A92" s="285" t="s">
        <v>45</v>
      </c>
      <c r="B92" s="13"/>
      <c r="C92" s="286"/>
      <c r="D92" s="286">
        <f>'18年合同登记表'!M119</f>
        <v>709550</v>
      </c>
      <c r="E92" s="13">
        <f t="shared" ref="E92" si="397">SUM(E84:E91)</f>
        <v>0</v>
      </c>
      <c r="F92" s="13">
        <f t="shared" ref="F92" si="398">SUM(F84:F91)</f>
        <v>0</v>
      </c>
      <c r="G92" s="13">
        <f t="shared" ref="G92" si="399">SUM(G84:G91)</f>
        <v>0</v>
      </c>
      <c r="H92" s="13">
        <f t="shared" ref="H92" si="400">SUM(H84:H91)</f>
        <v>0</v>
      </c>
      <c r="I92" s="13">
        <f t="shared" ref="I92" si="401">SUM(I84:I91)</f>
        <v>0</v>
      </c>
      <c r="J92" s="13">
        <f t="shared" ref="J92:K92" si="402">SUM(J84:J91)</f>
        <v>0</v>
      </c>
      <c r="K92" s="13" t="e">
        <f t="shared" si="402"/>
        <v>#REF!</v>
      </c>
      <c r="L92" s="290" t="e">
        <f t="shared" si="380"/>
        <v>#REF!</v>
      </c>
      <c r="M92" s="13">
        <f t="shared" ref="M92" si="403">SUM(M84:M91)</f>
        <v>0</v>
      </c>
      <c r="N92" s="13">
        <f t="shared" ref="N92" si="404">SUM(N84:N91)</f>
        <v>0</v>
      </c>
      <c r="O92" s="13">
        <f t="shared" ref="O92" si="405">SUM(O84:O91)</f>
        <v>0</v>
      </c>
      <c r="P92" s="13">
        <f t="shared" ref="P92" si="406">SUM(P84:P91)</f>
        <v>0</v>
      </c>
      <c r="Q92" s="13">
        <f t="shared" ref="Q92" si="407">SUM(Q84:Q91)</f>
        <v>0</v>
      </c>
      <c r="R92" s="13">
        <f t="shared" ref="R92" si="408">SUM(R84:R91)</f>
        <v>0</v>
      </c>
      <c r="S92" s="13">
        <f t="shared" ref="S92" si="409">SUM(S84:S91)</f>
        <v>0</v>
      </c>
      <c r="T92" s="13">
        <f t="shared" ref="T92" si="410">SUM(T84:T91)</f>
        <v>0</v>
      </c>
      <c r="U92" s="13">
        <f t="shared" ref="U92:V92" si="411">SUM(U84:U91)</f>
        <v>0</v>
      </c>
      <c r="V92" s="13" t="e">
        <f t="shared" si="411"/>
        <v>#REF!</v>
      </c>
      <c r="W92" s="298">
        <f>'18年合同登记表'!R119</f>
        <v>0.982806003805229</v>
      </c>
      <c r="X92" s="13" t="e">
        <f>SUM(X84:X91)</f>
        <v>#REF!</v>
      </c>
      <c r="Y92" s="290" t="e">
        <f t="shared" si="382"/>
        <v>#REF!</v>
      </c>
      <c r="Z92" s="13" t="e">
        <f t="shared" ref="Z92" si="412">SUM(Z84:Z91)</f>
        <v>#REF!</v>
      </c>
      <c r="AA92" s="13" t="e">
        <f t="shared" ref="AA92" si="413">SUM(AA84:AA91)</f>
        <v>#REF!</v>
      </c>
      <c r="AB92" s="13" t="e">
        <f t="shared" ref="AB92" si="414">SUM(AB84:AB91)</f>
        <v>#REF!</v>
      </c>
      <c r="AC92" s="13" t="e">
        <f t="shared" ref="AC92" si="415">SUM(AC84:AC91)</f>
        <v>#REF!</v>
      </c>
      <c r="AD92" s="13" t="e">
        <f t="shared" ref="AD92" si="416">SUM(AD84:AD91)</f>
        <v>#REF!</v>
      </c>
      <c r="AE92" s="13" t="e">
        <f t="shared" ref="AE92" si="417">SUM(AE84:AE91)</f>
        <v>#REF!</v>
      </c>
      <c r="AF92" s="13" t="e">
        <f t="shared" ref="AF92" si="418">SUM(AF84:AF91)</f>
        <v>#REF!</v>
      </c>
      <c r="AG92" s="13" t="e">
        <f t="shared" ref="AG92" si="419">SUM(AG84:AG91)</f>
        <v>#REF!</v>
      </c>
      <c r="AH92" s="13" t="e">
        <f t="shared" ref="AH92" si="420">SUM(AH84:AH91)</f>
        <v>#REF!</v>
      </c>
      <c r="AI92" s="13" t="e">
        <f t="shared" ref="AI92" si="421">SUM(AI84:AI91)</f>
        <v>#REF!</v>
      </c>
      <c r="AJ92" s="13" t="e">
        <f t="shared" ref="AJ92" si="422">SUM(AJ84:AJ91)</f>
        <v>#REF!</v>
      </c>
      <c r="AK92" s="13">
        <f t="shared" ref="AK92" si="423">SUM(AK84:AK91)</f>
        <v>0</v>
      </c>
      <c r="AL92" s="13" t="e">
        <f t="shared" ref="AL92" si="424">SUM(AL84:AL91)</f>
        <v>#REF!</v>
      </c>
      <c r="AM92" s="13">
        <f t="shared" ref="AM92" si="425">SUM(AM84:AM91)</f>
        <v>0</v>
      </c>
      <c r="AN92" s="13" t="e">
        <f t="shared" ref="AN92" si="426">SUM(AN84:AN91)</f>
        <v>#REF!</v>
      </c>
      <c r="AO92" s="13">
        <f t="shared" ref="AO92" si="427">SUM(AO84:AO91)</f>
        <v>0</v>
      </c>
      <c r="AP92" s="13" t="e">
        <f t="shared" ref="AP92" si="428">SUM(AP84:AP91)</f>
        <v>#REF!</v>
      </c>
      <c r="AQ92" s="13">
        <f t="shared" ref="AQ92" si="429">SUM(AQ84:AQ91)</f>
        <v>0</v>
      </c>
    </row>
    <row r="93" spans="1:43">
      <c r="A93" s="285" t="s">
        <v>46</v>
      </c>
      <c r="B93" s="13"/>
      <c r="C93" s="286"/>
      <c r="D93" s="286">
        <f>'18年合同登记表'!M120</f>
        <v>16590576.97</v>
      </c>
      <c r="E93" s="13">
        <f t="shared" ref="E93" si="430">E83+E92</f>
        <v>97470</v>
      </c>
      <c r="F93" s="13">
        <f t="shared" ref="F93" si="431">F83+F92</f>
        <v>509816</v>
      </c>
      <c r="G93" s="13">
        <f t="shared" ref="G93" si="432">G83+G92</f>
        <v>130076.3</v>
      </c>
      <c r="H93" s="13">
        <f t="shared" ref="H93" si="433">H83+H92</f>
        <v>134561</v>
      </c>
      <c r="I93" s="13">
        <f t="shared" ref="I93" si="434">I83+I92</f>
        <v>66251</v>
      </c>
      <c r="J93" s="13">
        <f t="shared" ref="J93:K93" si="435">J83+J92</f>
        <v>13577</v>
      </c>
      <c r="K93" s="13" t="e">
        <f t="shared" si="435"/>
        <v>#REF!</v>
      </c>
      <c r="L93" s="290" t="e">
        <f t="shared" si="380"/>
        <v>#REF!</v>
      </c>
      <c r="M93" s="13">
        <f t="shared" ref="M93" si="436">M83+M92</f>
        <v>330</v>
      </c>
      <c r="N93" s="13">
        <f t="shared" ref="N93" si="437">N83+N92</f>
        <v>5495</v>
      </c>
      <c r="O93" s="13">
        <f t="shared" ref="O93" si="438">O83+O92</f>
        <v>2620.2</v>
      </c>
      <c r="P93" s="13">
        <f t="shared" ref="P93" si="439">P83+P92</f>
        <v>5000</v>
      </c>
      <c r="Q93" s="13">
        <f t="shared" ref="Q93" si="440">Q83+Q92</f>
        <v>1650</v>
      </c>
      <c r="R93" s="13">
        <f t="shared" ref="R93" si="441">R83+R92</f>
        <v>330</v>
      </c>
      <c r="S93" s="13">
        <f t="shared" ref="S93" si="442">S83+S92</f>
        <v>0</v>
      </c>
      <c r="T93" s="13">
        <f t="shared" ref="T93" si="443">T83+T92</f>
        <v>0</v>
      </c>
      <c r="U93" s="13">
        <f t="shared" ref="U93:V93" si="444">U83+U92</f>
        <v>0</v>
      </c>
      <c r="V93" s="13" t="e">
        <f t="shared" si="444"/>
        <v>#REF!</v>
      </c>
      <c r="W93" s="298">
        <f>'18年合同登记表'!R120</f>
        <v>0.354154206368147</v>
      </c>
      <c r="X93" s="13" t="e">
        <f>X83+X92</f>
        <v>#REF!</v>
      </c>
      <c r="Y93" s="290" t="e">
        <f t="shared" si="382"/>
        <v>#REF!</v>
      </c>
      <c r="Z93" s="13" t="e">
        <f t="shared" ref="Z93" si="445">Z83+Z92</f>
        <v>#REF!</v>
      </c>
      <c r="AA93" s="13" t="e">
        <f t="shared" ref="AA93" si="446">AA83+AA92</f>
        <v>#REF!</v>
      </c>
      <c r="AB93" s="13" t="e">
        <f t="shared" ref="AB93" si="447">AB83+AB92</f>
        <v>#REF!</v>
      </c>
      <c r="AC93" s="13" t="e">
        <f t="shared" ref="AC93" si="448">AC83+AC92</f>
        <v>#REF!</v>
      </c>
      <c r="AD93" s="13" t="e">
        <f t="shared" ref="AD93" si="449">AD83+AD92</f>
        <v>#REF!</v>
      </c>
      <c r="AE93" s="13" t="e">
        <f t="shared" ref="AE93" si="450">AE83+AE92</f>
        <v>#REF!</v>
      </c>
      <c r="AF93" s="13" t="e">
        <f t="shared" ref="AF93" si="451">AF83+AF92</f>
        <v>#REF!</v>
      </c>
      <c r="AG93" s="13" t="e">
        <f t="shared" ref="AG93" si="452">AG83+AG92</f>
        <v>#REF!</v>
      </c>
      <c r="AH93" s="13" t="e">
        <f t="shared" ref="AH93" si="453">AH83+AH92</f>
        <v>#REF!</v>
      </c>
      <c r="AI93" s="13" t="e">
        <f t="shared" ref="AI93" si="454">AI83+AI92</f>
        <v>#REF!</v>
      </c>
      <c r="AJ93" s="13" t="e">
        <f t="shared" ref="AJ93" si="455">AJ83+AJ92</f>
        <v>#REF!</v>
      </c>
      <c r="AK93" s="13">
        <f t="shared" ref="AK93" si="456">AK83+AK92</f>
        <v>0</v>
      </c>
      <c r="AL93" s="13" t="e">
        <f t="shared" ref="AL93" si="457">AL83+AL92</f>
        <v>#REF!</v>
      </c>
      <c r="AM93" s="13">
        <f t="shared" ref="AM93" si="458">AM83+AM92</f>
        <v>0</v>
      </c>
      <c r="AN93" s="13" t="e">
        <f t="shared" ref="AN93" si="459">AN83+AN92</f>
        <v>#REF!</v>
      </c>
      <c r="AO93" s="13">
        <f t="shared" ref="AO93" si="460">AO83+AO92</f>
        <v>0</v>
      </c>
      <c r="AP93" s="13" t="e">
        <f t="shared" ref="AP93" si="461">AP83+AP92</f>
        <v>#REF!</v>
      </c>
      <c r="AQ93" s="13">
        <f t="shared" ref="AQ93" si="462">AQ83+AQ92</f>
        <v>0</v>
      </c>
    </row>
    <row r="94" spans="1:43">
      <c r="A94" s="280" t="str">
        <f>'18年合同登记表'!F121</f>
        <v>东方文创</v>
      </c>
      <c r="B94" s="15" t="str">
        <f>'18年合同登记表'!I121</f>
        <v>直燃机年度维保</v>
      </c>
      <c r="C94" s="281" t="str">
        <f>'18年合同登记表'!L121</f>
        <v>陈勇</v>
      </c>
      <c r="D94" s="281">
        <f>'18年合同登记表'!M121</f>
        <v>15000</v>
      </c>
      <c r="E94" s="282"/>
      <c r="F94" s="3"/>
      <c r="G94" s="3"/>
      <c r="H94" s="3"/>
      <c r="I94" s="3"/>
      <c r="J94" s="3"/>
      <c r="K94" s="15">
        <f t="shared" ref="K94:K101" si="463">D94-E94-F94-G94-H94-I94-J94</f>
        <v>15000</v>
      </c>
      <c r="L94" s="289">
        <f t="shared" si="380"/>
        <v>1</v>
      </c>
      <c r="M94" s="282"/>
      <c r="N94" s="3"/>
      <c r="O94" s="3"/>
      <c r="P94" s="3"/>
      <c r="Q94" s="3"/>
      <c r="R94" s="3"/>
      <c r="S94" s="3"/>
      <c r="T94" s="3"/>
      <c r="U94" s="3">
        <v>0</v>
      </c>
      <c r="V94" s="3">
        <f>'18年合同登记表'!Q121</f>
        <v>15000</v>
      </c>
      <c r="W94" s="297">
        <f>'18年合同登记表'!R121</f>
        <v>1</v>
      </c>
      <c r="X94" s="15">
        <f t="shared" ref="X94:X103" si="464">D94-M94-N94-O94-P94-Q94-R94-U94</f>
        <v>15000</v>
      </c>
      <c r="Y94" s="289">
        <f t="shared" si="382"/>
        <v>1</v>
      </c>
      <c r="Z94" s="280">
        <f t="shared" si="383"/>
        <v>12750</v>
      </c>
      <c r="AA94" s="15">
        <f t="shared" si="384"/>
        <v>2250</v>
      </c>
      <c r="AB94" s="15">
        <f t="shared" si="385"/>
        <v>450</v>
      </c>
      <c r="AC94" s="15">
        <f t="shared" si="386"/>
        <v>1530</v>
      </c>
      <c r="AD94" s="15">
        <f t="shared" si="387"/>
        <v>144</v>
      </c>
      <c r="AE94" s="15">
        <f t="shared" si="388"/>
        <v>90</v>
      </c>
      <c r="AF94" s="281">
        <f t="shared" si="389"/>
        <v>36</v>
      </c>
      <c r="AG94" s="280">
        <f t="shared" si="390"/>
        <v>12750</v>
      </c>
      <c r="AH94" s="15">
        <f t="shared" si="391"/>
        <v>2250</v>
      </c>
      <c r="AI94" s="15">
        <f t="shared" si="392"/>
        <v>450</v>
      </c>
      <c r="AJ94" s="15">
        <f t="shared" si="393"/>
        <v>1530</v>
      </c>
      <c r="AK94" s="49"/>
      <c r="AL94" s="15">
        <f t="shared" si="394"/>
        <v>144</v>
      </c>
      <c r="AM94" s="49"/>
      <c r="AN94" s="15">
        <f t="shared" si="395"/>
        <v>90</v>
      </c>
      <c r="AO94" s="49"/>
      <c r="AP94" s="15">
        <f t="shared" si="396"/>
        <v>36</v>
      </c>
      <c r="AQ94" s="316"/>
    </row>
    <row r="95" spans="1:43">
      <c r="A95" s="280" t="str">
        <f>'18年合同登记表'!F122</f>
        <v>通惠大厦</v>
      </c>
      <c r="B95" s="15" t="str">
        <f>'18年合同登记表'!I122</f>
        <v>直燃机年度维保</v>
      </c>
      <c r="C95" s="281" t="str">
        <f>'18年合同登记表'!L122</f>
        <v>陈勇</v>
      </c>
      <c r="D95" s="281">
        <f>'18年合同登记表'!M122</f>
        <v>16000</v>
      </c>
      <c r="E95" s="282"/>
      <c r="F95" s="3"/>
      <c r="G95" s="3"/>
      <c r="H95" s="3"/>
      <c r="I95" s="3"/>
      <c r="J95" s="3"/>
      <c r="K95" s="15">
        <f t="shared" si="463"/>
        <v>16000</v>
      </c>
      <c r="L95" s="289">
        <f t="shared" si="380"/>
        <v>1</v>
      </c>
      <c r="M95" s="282"/>
      <c r="N95" s="3"/>
      <c r="O95" s="3"/>
      <c r="P95" s="3"/>
      <c r="Q95" s="3"/>
      <c r="R95" s="3"/>
      <c r="S95" s="3"/>
      <c r="T95" s="3"/>
      <c r="U95" s="3">
        <v>0</v>
      </c>
      <c r="V95" s="3">
        <f>'18年合同登记表'!Q122</f>
        <v>16000</v>
      </c>
      <c r="W95" s="297">
        <f>'18年合同登记表'!R122</f>
        <v>1</v>
      </c>
      <c r="X95" s="15">
        <f t="shared" si="464"/>
        <v>16000</v>
      </c>
      <c r="Y95" s="289">
        <f t="shared" si="382"/>
        <v>1</v>
      </c>
      <c r="Z95" s="280">
        <f t="shared" si="383"/>
        <v>13600</v>
      </c>
      <c r="AA95" s="15">
        <f t="shared" si="384"/>
        <v>2400</v>
      </c>
      <c r="AB95" s="15">
        <f t="shared" si="385"/>
        <v>480</v>
      </c>
      <c r="AC95" s="15">
        <f t="shared" si="386"/>
        <v>1632</v>
      </c>
      <c r="AD95" s="15">
        <f t="shared" si="387"/>
        <v>153.6</v>
      </c>
      <c r="AE95" s="15">
        <f t="shared" si="388"/>
        <v>96</v>
      </c>
      <c r="AF95" s="281">
        <f t="shared" si="389"/>
        <v>38.4</v>
      </c>
      <c r="AG95" s="280">
        <f t="shared" si="390"/>
        <v>13600</v>
      </c>
      <c r="AH95" s="15">
        <f t="shared" si="391"/>
        <v>2400</v>
      </c>
      <c r="AI95" s="15">
        <f t="shared" si="392"/>
        <v>480</v>
      </c>
      <c r="AJ95" s="15">
        <f t="shared" si="393"/>
        <v>1632</v>
      </c>
      <c r="AK95" s="49"/>
      <c r="AL95" s="15">
        <f t="shared" si="394"/>
        <v>153.6</v>
      </c>
      <c r="AM95" s="49"/>
      <c r="AN95" s="15">
        <f t="shared" si="395"/>
        <v>96</v>
      </c>
      <c r="AO95" s="49"/>
      <c r="AP95" s="15">
        <f t="shared" si="396"/>
        <v>38.4</v>
      </c>
      <c r="AQ95" s="316"/>
    </row>
    <row r="96" spans="1:43">
      <c r="A96" s="280" t="str">
        <f>'18年合同登记表'!F123</f>
        <v>豪庭酒店</v>
      </c>
      <c r="B96" s="15" t="str">
        <f>'18年合同登记表'!I123</f>
        <v>直燃机维修技术服务</v>
      </c>
      <c r="C96" s="281" t="str">
        <f>'18年合同登记表'!L123</f>
        <v>王东</v>
      </c>
      <c r="D96" s="281">
        <f>'18年合同登记表'!M123</f>
        <v>45000</v>
      </c>
      <c r="E96" s="282"/>
      <c r="F96" s="3"/>
      <c r="G96" s="3"/>
      <c r="H96" s="3"/>
      <c r="I96" s="3"/>
      <c r="J96" s="3"/>
      <c r="K96" s="15">
        <f t="shared" si="463"/>
        <v>45000</v>
      </c>
      <c r="L96" s="289">
        <f t="shared" si="380"/>
        <v>1</v>
      </c>
      <c r="M96" s="282"/>
      <c r="N96" s="3"/>
      <c r="O96" s="3"/>
      <c r="P96" s="3"/>
      <c r="Q96" s="3"/>
      <c r="R96" s="3"/>
      <c r="S96" s="3"/>
      <c r="T96" s="3"/>
      <c r="U96" s="3">
        <v>0</v>
      </c>
      <c r="V96" s="3">
        <f>'18年合同登记表'!Q123</f>
        <v>45000</v>
      </c>
      <c r="W96" s="297">
        <f>'18年合同登记表'!R123</f>
        <v>1</v>
      </c>
      <c r="X96" s="15">
        <f t="shared" si="464"/>
        <v>45000</v>
      </c>
      <c r="Y96" s="289">
        <f t="shared" si="382"/>
        <v>1</v>
      </c>
      <c r="Z96" s="280">
        <f t="shared" si="383"/>
        <v>38250</v>
      </c>
      <c r="AA96" s="15">
        <f t="shared" si="384"/>
        <v>6750</v>
      </c>
      <c r="AB96" s="15">
        <f t="shared" si="385"/>
        <v>1350</v>
      </c>
      <c r="AC96" s="15">
        <f t="shared" si="386"/>
        <v>4590</v>
      </c>
      <c r="AD96" s="15">
        <f t="shared" si="387"/>
        <v>432</v>
      </c>
      <c r="AE96" s="15">
        <f t="shared" si="388"/>
        <v>270</v>
      </c>
      <c r="AF96" s="281">
        <f t="shared" si="389"/>
        <v>108</v>
      </c>
      <c r="AG96" s="280">
        <f t="shared" si="390"/>
        <v>38250</v>
      </c>
      <c r="AH96" s="15">
        <f t="shared" si="391"/>
        <v>6750</v>
      </c>
      <c r="AI96" s="15">
        <f t="shared" si="392"/>
        <v>1350</v>
      </c>
      <c r="AJ96" s="15">
        <f t="shared" si="393"/>
        <v>4590</v>
      </c>
      <c r="AK96" s="49"/>
      <c r="AL96" s="15">
        <f t="shared" si="394"/>
        <v>432</v>
      </c>
      <c r="AM96" s="49"/>
      <c r="AN96" s="15">
        <f t="shared" si="395"/>
        <v>270</v>
      </c>
      <c r="AO96" s="49"/>
      <c r="AP96" s="15">
        <f t="shared" si="396"/>
        <v>108</v>
      </c>
      <c r="AQ96" s="316"/>
    </row>
    <row r="97" spans="1:43">
      <c r="A97" s="280" t="str">
        <f>'18年合同登记表'!F124</f>
        <v>华通大厦</v>
      </c>
      <c r="B97" s="15" t="str">
        <f>'18年合同登记表'!I124</f>
        <v>直燃机维修项目</v>
      </c>
      <c r="C97" s="281" t="str">
        <f>'18年合同登记表'!L124</f>
        <v>王东</v>
      </c>
      <c r="D97" s="281">
        <f>'18年合同登记表'!M124</f>
        <v>53000</v>
      </c>
      <c r="E97" s="282"/>
      <c r="F97" s="3"/>
      <c r="G97" s="3"/>
      <c r="H97" s="3"/>
      <c r="I97" s="3"/>
      <c r="J97" s="3"/>
      <c r="K97" s="15">
        <f t="shared" si="463"/>
        <v>53000</v>
      </c>
      <c r="L97" s="289">
        <f t="shared" si="380"/>
        <v>1</v>
      </c>
      <c r="M97" s="282"/>
      <c r="N97" s="3"/>
      <c r="O97" s="3"/>
      <c r="P97" s="3"/>
      <c r="Q97" s="3"/>
      <c r="R97" s="3"/>
      <c r="S97" s="3"/>
      <c r="T97" s="3"/>
      <c r="U97" s="3">
        <v>0</v>
      </c>
      <c r="V97" s="3">
        <f>'18年合同登记表'!Q124</f>
        <v>53000</v>
      </c>
      <c r="W97" s="297">
        <f>'18年合同登记表'!R124</f>
        <v>1</v>
      </c>
      <c r="X97" s="15">
        <f t="shared" si="464"/>
        <v>53000</v>
      </c>
      <c r="Y97" s="289">
        <f t="shared" si="382"/>
        <v>1</v>
      </c>
      <c r="Z97" s="280">
        <f t="shared" si="383"/>
        <v>45050</v>
      </c>
      <c r="AA97" s="15">
        <f t="shared" si="384"/>
        <v>7950</v>
      </c>
      <c r="AB97" s="15">
        <f t="shared" si="385"/>
        <v>1590</v>
      </c>
      <c r="AC97" s="15">
        <f t="shared" si="386"/>
        <v>5406</v>
      </c>
      <c r="AD97" s="15">
        <f t="shared" si="387"/>
        <v>508.8</v>
      </c>
      <c r="AE97" s="15">
        <f t="shared" si="388"/>
        <v>318</v>
      </c>
      <c r="AF97" s="281">
        <f t="shared" si="389"/>
        <v>127.2</v>
      </c>
      <c r="AG97" s="280">
        <f t="shared" si="390"/>
        <v>45050</v>
      </c>
      <c r="AH97" s="15">
        <f t="shared" si="391"/>
        <v>7950</v>
      </c>
      <c r="AI97" s="15">
        <f t="shared" si="392"/>
        <v>1590</v>
      </c>
      <c r="AJ97" s="15">
        <f t="shared" si="393"/>
        <v>5406</v>
      </c>
      <c r="AK97" s="49"/>
      <c r="AL97" s="15">
        <f t="shared" si="394"/>
        <v>508.8</v>
      </c>
      <c r="AM97" s="49"/>
      <c r="AN97" s="15">
        <f t="shared" si="395"/>
        <v>318</v>
      </c>
      <c r="AO97" s="49"/>
      <c r="AP97" s="15">
        <f t="shared" si="396"/>
        <v>127.2</v>
      </c>
      <c r="AQ97" s="316"/>
    </row>
    <row r="98" spans="1:43">
      <c r="A98" s="280" t="str">
        <f>'18年合同登记表'!F125</f>
        <v>朝阳区规划艺术馆</v>
      </c>
      <c r="B98" s="15" t="str">
        <f>'18年合同登记表'!I125</f>
        <v>中央空调年度维保合同</v>
      </c>
      <c r="C98" s="281" t="str">
        <f>'18年合同登记表'!L125</f>
        <v>王东</v>
      </c>
      <c r="D98" s="281">
        <f>'18年合同登记表'!M125</f>
        <v>304000</v>
      </c>
      <c r="E98" s="282"/>
      <c r="F98" s="3"/>
      <c r="G98" s="3"/>
      <c r="H98" s="3"/>
      <c r="I98" s="3"/>
      <c r="J98" s="3"/>
      <c r="K98" s="15">
        <f t="shared" si="463"/>
        <v>304000</v>
      </c>
      <c r="L98" s="289">
        <f t="shared" si="380"/>
        <v>1</v>
      </c>
      <c r="M98" s="282"/>
      <c r="N98" s="3"/>
      <c r="O98" s="3"/>
      <c r="P98" s="3"/>
      <c r="Q98" s="3"/>
      <c r="R98" s="3"/>
      <c r="S98" s="3"/>
      <c r="T98" s="3"/>
      <c r="U98" s="3">
        <v>0</v>
      </c>
      <c r="V98" s="3">
        <f>'18年合同登记表'!Q125</f>
        <v>304000</v>
      </c>
      <c r="W98" s="297">
        <f>'18年合同登记表'!R125</f>
        <v>1</v>
      </c>
      <c r="X98" s="15">
        <f t="shared" si="464"/>
        <v>304000</v>
      </c>
      <c r="Y98" s="289">
        <f t="shared" si="382"/>
        <v>1</v>
      </c>
      <c r="Z98" s="280">
        <f t="shared" si="383"/>
        <v>258400</v>
      </c>
      <c r="AA98" s="15">
        <f t="shared" si="384"/>
        <v>45600</v>
      </c>
      <c r="AB98" s="15">
        <f t="shared" si="385"/>
        <v>9120</v>
      </c>
      <c r="AC98" s="15">
        <f t="shared" si="386"/>
        <v>31008</v>
      </c>
      <c r="AD98" s="15">
        <f t="shared" si="387"/>
        <v>2918.4</v>
      </c>
      <c r="AE98" s="15">
        <f t="shared" si="388"/>
        <v>1824</v>
      </c>
      <c r="AF98" s="281">
        <f t="shared" si="389"/>
        <v>729.6</v>
      </c>
      <c r="AG98" s="280">
        <f t="shared" si="390"/>
        <v>258400</v>
      </c>
      <c r="AH98" s="15">
        <f t="shared" si="391"/>
        <v>45600</v>
      </c>
      <c r="AI98" s="15">
        <f t="shared" si="392"/>
        <v>9120</v>
      </c>
      <c r="AJ98" s="15">
        <f t="shared" si="393"/>
        <v>31008</v>
      </c>
      <c r="AK98" s="49"/>
      <c r="AL98" s="15">
        <f t="shared" si="394"/>
        <v>2918.4</v>
      </c>
      <c r="AM98" s="49"/>
      <c r="AN98" s="15">
        <f t="shared" si="395"/>
        <v>1824</v>
      </c>
      <c r="AO98" s="49"/>
      <c r="AP98" s="15">
        <f t="shared" si="396"/>
        <v>729.6</v>
      </c>
      <c r="AQ98" s="316"/>
    </row>
    <row r="99" spans="1:43">
      <c r="A99" s="280" t="str">
        <f>'18年合同登记表'!F126</f>
        <v>崇文门物美</v>
      </c>
      <c r="B99" s="15" t="str">
        <f>'18年合同登记表'!I126</f>
        <v>中央空调维修</v>
      </c>
      <c r="C99" s="281" t="str">
        <f>'18年合同登记表'!L126</f>
        <v>徐利斌</v>
      </c>
      <c r="D99" s="281">
        <f>'18年合同登记表'!M126</f>
        <v>107000</v>
      </c>
      <c r="E99" s="282"/>
      <c r="F99" s="3"/>
      <c r="G99" s="3"/>
      <c r="H99" s="3"/>
      <c r="I99" s="3"/>
      <c r="J99" s="3"/>
      <c r="K99" s="15">
        <f t="shared" si="463"/>
        <v>107000</v>
      </c>
      <c r="L99" s="289">
        <f t="shared" si="380"/>
        <v>1</v>
      </c>
      <c r="M99" s="282"/>
      <c r="N99" s="3"/>
      <c r="O99" s="3"/>
      <c r="P99" s="3"/>
      <c r="Q99" s="3"/>
      <c r="R99" s="3"/>
      <c r="S99" s="3"/>
      <c r="T99" s="3"/>
      <c r="U99" s="3">
        <v>0</v>
      </c>
      <c r="V99" s="3">
        <f>'18年合同登记表'!Q126</f>
        <v>107000</v>
      </c>
      <c r="W99" s="297">
        <f>'18年合同登记表'!R126</f>
        <v>1</v>
      </c>
      <c r="X99" s="15">
        <f t="shared" si="464"/>
        <v>107000</v>
      </c>
      <c r="Y99" s="289">
        <f t="shared" si="382"/>
        <v>1</v>
      </c>
      <c r="Z99" s="280">
        <f t="shared" si="383"/>
        <v>90950</v>
      </c>
      <c r="AA99" s="15">
        <f t="shared" si="384"/>
        <v>16050</v>
      </c>
      <c r="AB99" s="15">
        <f t="shared" si="385"/>
        <v>3210</v>
      </c>
      <c r="AC99" s="15">
        <f t="shared" si="386"/>
        <v>10914</v>
      </c>
      <c r="AD99" s="15">
        <f t="shared" si="387"/>
        <v>1027.2</v>
      </c>
      <c r="AE99" s="15">
        <f t="shared" si="388"/>
        <v>642</v>
      </c>
      <c r="AF99" s="281">
        <f t="shared" si="389"/>
        <v>256.8</v>
      </c>
      <c r="AG99" s="280">
        <f t="shared" si="390"/>
        <v>90950</v>
      </c>
      <c r="AH99" s="15">
        <f t="shared" si="391"/>
        <v>16050</v>
      </c>
      <c r="AI99" s="15">
        <f t="shared" si="392"/>
        <v>3210</v>
      </c>
      <c r="AJ99" s="15">
        <f t="shared" si="393"/>
        <v>10914</v>
      </c>
      <c r="AK99" s="49"/>
      <c r="AL99" s="15">
        <f t="shared" si="394"/>
        <v>1027.2</v>
      </c>
      <c r="AM99" s="49"/>
      <c r="AN99" s="15">
        <f t="shared" si="395"/>
        <v>642</v>
      </c>
      <c r="AO99" s="49"/>
      <c r="AP99" s="15">
        <f t="shared" si="396"/>
        <v>256.8</v>
      </c>
      <c r="AQ99" s="316"/>
    </row>
    <row r="100" spans="1:43">
      <c r="A100" s="280" t="str">
        <f>'18年合同登记表'!F127</f>
        <v>蜀国演义</v>
      </c>
      <c r="B100" s="15" t="str">
        <f>'18年合同登记表'!I127</f>
        <v>直燃机年度维保</v>
      </c>
      <c r="C100" s="281" t="str">
        <f>'18年合同登记表'!L127</f>
        <v>陈勇</v>
      </c>
      <c r="D100" s="281">
        <f>'18年合同登记表'!M127</f>
        <v>15000</v>
      </c>
      <c r="E100" s="282"/>
      <c r="F100" s="3"/>
      <c r="G100" s="3"/>
      <c r="H100" s="3"/>
      <c r="I100" s="3"/>
      <c r="J100" s="3"/>
      <c r="K100" s="15">
        <f t="shared" si="463"/>
        <v>15000</v>
      </c>
      <c r="L100" s="289">
        <f t="shared" si="380"/>
        <v>1</v>
      </c>
      <c r="M100" s="282"/>
      <c r="N100" s="3"/>
      <c r="O100" s="3"/>
      <c r="P100" s="3"/>
      <c r="Q100" s="3"/>
      <c r="R100" s="3"/>
      <c r="S100" s="3"/>
      <c r="T100" s="3"/>
      <c r="U100" s="3">
        <v>0</v>
      </c>
      <c r="V100" s="3">
        <f>'18年合同登记表'!Q127</f>
        <v>15000</v>
      </c>
      <c r="W100" s="297">
        <f>'18年合同登记表'!R127</f>
        <v>1</v>
      </c>
      <c r="X100" s="15">
        <f t="shared" si="464"/>
        <v>15000</v>
      </c>
      <c r="Y100" s="289">
        <f t="shared" si="382"/>
        <v>1</v>
      </c>
      <c r="Z100" s="280">
        <f t="shared" si="383"/>
        <v>12750</v>
      </c>
      <c r="AA100" s="15">
        <f t="shared" si="384"/>
        <v>2250</v>
      </c>
      <c r="AB100" s="15">
        <f t="shared" si="385"/>
        <v>450</v>
      </c>
      <c r="AC100" s="15">
        <f t="shared" si="386"/>
        <v>1530</v>
      </c>
      <c r="AD100" s="15">
        <f t="shared" si="387"/>
        <v>144</v>
      </c>
      <c r="AE100" s="15">
        <f t="shared" si="388"/>
        <v>90</v>
      </c>
      <c r="AF100" s="281">
        <f t="shared" si="389"/>
        <v>36</v>
      </c>
      <c r="AG100" s="280">
        <f t="shared" si="390"/>
        <v>12750</v>
      </c>
      <c r="AH100" s="15">
        <f t="shared" si="391"/>
        <v>2250</v>
      </c>
      <c r="AI100" s="15">
        <f t="shared" si="392"/>
        <v>450</v>
      </c>
      <c r="AJ100" s="15">
        <f t="shared" si="393"/>
        <v>1530</v>
      </c>
      <c r="AK100" s="49"/>
      <c r="AL100" s="15">
        <f t="shared" si="394"/>
        <v>144</v>
      </c>
      <c r="AM100" s="49"/>
      <c r="AN100" s="15">
        <f t="shared" si="395"/>
        <v>90</v>
      </c>
      <c r="AO100" s="49"/>
      <c r="AP100" s="15">
        <f t="shared" si="396"/>
        <v>36</v>
      </c>
      <c r="AQ100" s="316"/>
    </row>
    <row r="101" spans="1:43">
      <c r="A101" s="280" t="e">
        <f>'18年合同登记表'!#REF!</f>
        <v>#REF!</v>
      </c>
      <c r="B101" s="15" t="e">
        <f>'18年合同登记表'!#REF!</f>
        <v>#REF!</v>
      </c>
      <c r="C101" s="281" t="e">
        <f>'18年合同登记表'!#REF!</f>
        <v>#REF!</v>
      </c>
      <c r="D101" s="281" t="e">
        <f>'18年合同登记表'!#REF!</f>
        <v>#REF!</v>
      </c>
      <c r="E101" s="282"/>
      <c r="F101" s="3"/>
      <c r="G101" s="3"/>
      <c r="H101" s="3"/>
      <c r="I101" s="3"/>
      <c r="J101" s="3"/>
      <c r="K101" s="15" t="e">
        <f t="shared" si="463"/>
        <v>#REF!</v>
      </c>
      <c r="L101" s="289" t="e">
        <f t="shared" si="380"/>
        <v>#REF!</v>
      </c>
      <c r="M101" s="282"/>
      <c r="N101" s="3"/>
      <c r="O101" s="3"/>
      <c r="P101" s="3"/>
      <c r="Q101" s="3"/>
      <c r="R101" s="3"/>
      <c r="S101" s="3"/>
      <c r="T101" s="3"/>
      <c r="U101" s="3">
        <v>0</v>
      </c>
      <c r="V101" s="3" t="e">
        <f>'18年合同登记表'!#REF!</f>
        <v>#REF!</v>
      </c>
      <c r="W101" s="297" t="e">
        <f>'18年合同登记表'!#REF!</f>
        <v>#REF!</v>
      </c>
      <c r="X101" s="15" t="e">
        <f t="shared" si="464"/>
        <v>#REF!</v>
      </c>
      <c r="Y101" s="289" t="e">
        <f t="shared" si="382"/>
        <v>#REF!</v>
      </c>
      <c r="Z101" s="280" t="e">
        <f t="shared" si="383"/>
        <v>#REF!</v>
      </c>
      <c r="AA101" s="15" t="e">
        <f t="shared" si="384"/>
        <v>#REF!</v>
      </c>
      <c r="AB101" s="15" t="e">
        <f t="shared" si="385"/>
        <v>#REF!</v>
      </c>
      <c r="AC101" s="15" t="e">
        <f t="shared" si="386"/>
        <v>#REF!</v>
      </c>
      <c r="AD101" s="15" t="e">
        <f t="shared" si="387"/>
        <v>#REF!</v>
      </c>
      <c r="AE101" s="15" t="e">
        <f t="shared" si="388"/>
        <v>#REF!</v>
      </c>
      <c r="AF101" s="281" t="e">
        <f t="shared" si="389"/>
        <v>#REF!</v>
      </c>
      <c r="AG101" s="280" t="e">
        <f t="shared" si="390"/>
        <v>#REF!</v>
      </c>
      <c r="AH101" s="15" t="e">
        <f t="shared" si="391"/>
        <v>#REF!</v>
      </c>
      <c r="AI101" s="15" t="e">
        <f t="shared" si="392"/>
        <v>#REF!</v>
      </c>
      <c r="AJ101" s="15" t="e">
        <f t="shared" si="393"/>
        <v>#REF!</v>
      </c>
      <c r="AK101" s="49"/>
      <c r="AL101" s="15" t="e">
        <f t="shared" si="394"/>
        <v>#REF!</v>
      </c>
      <c r="AM101" s="49"/>
      <c r="AN101" s="15" t="e">
        <f t="shared" si="395"/>
        <v>#REF!</v>
      </c>
      <c r="AO101" s="49"/>
      <c r="AP101" s="15" t="e">
        <f t="shared" si="396"/>
        <v>#REF!</v>
      </c>
      <c r="AQ101" s="316"/>
    </row>
    <row r="102" spans="1:43">
      <c r="A102" s="285" t="s">
        <v>47</v>
      </c>
      <c r="B102" s="13"/>
      <c r="C102" s="286"/>
      <c r="D102" s="286">
        <f>'18年合同登记表'!M133</f>
        <v>804630</v>
      </c>
      <c r="E102" s="13">
        <f t="shared" ref="E102" si="465">SUM(E94:E101)</f>
        <v>0</v>
      </c>
      <c r="F102" s="13">
        <f t="shared" ref="F102" si="466">SUM(F94:F101)</f>
        <v>0</v>
      </c>
      <c r="G102" s="13">
        <f t="shared" ref="G102" si="467">SUM(G94:G101)</f>
        <v>0</v>
      </c>
      <c r="H102" s="13">
        <f t="shared" ref="H102" si="468">SUM(H94:H101)</f>
        <v>0</v>
      </c>
      <c r="I102" s="13">
        <f t="shared" ref="I102" si="469">SUM(I94:I101)</f>
        <v>0</v>
      </c>
      <c r="J102" s="13">
        <f t="shared" ref="J102:K102" si="470">SUM(J94:J101)</f>
        <v>0</v>
      </c>
      <c r="K102" s="13" t="e">
        <f t="shared" si="470"/>
        <v>#REF!</v>
      </c>
      <c r="L102" s="290" t="e">
        <f t="shared" si="380"/>
        <v>#REF!</v>
      </c>
      <c r="M102" s="13">
        <f t="shared" ref="M102" si="471">SUM(M94:M101)</f>
        <v>0</v>
      </c>
      <c r="N102" s="13">
        <f t="shared" ref="N102" si="472">SUM(N94:N101)</f>
        <v>0</v>
      </c>
      <c r="O102" s="13">
        <f t="shared" ref="O102" si="473">SUM(O94:O101)</f>
        <v>0</v>
      </c>
      <c r="P102" s="13">
        <f t="shared" ref="P102" si="474">SUM(P94:P101)</f>
        <v>0</v>
      </c>
      <c r="Q102" s="13">
        <f t="shared" ref="Q102" si="475">SUM(Q94:Q101)</f>
        <v>0</v>
      </c>
      <c r="R102" s="13">
        <f t="shared" ref="R102" si="476">SUM(R94:R101)</f>
        <v>0</v>
      </c>
      <c r="S102" s="13">
        <f t="shared" ref="S102" si="477">SUM(S94:S101)</f>
        <v>0</v>
      </c>
      <c r="T102" s="13">
        <f t="shared" ref="T102" si="478">SUM(T94:T101)</f>
        <v>0</v>
      </c>
      <c r="U102" s="13">
        <f t="shared" ref="U102:V102" si="479">SUM(U94:U101)</f>
        <v>0</v>
      </c>
      <c r="V102" s="13" t="e">
        <f t="shared" si="479"/>
        <v>#REF!</v>
      </c>
      <c r="W102" s="298">
        <f>'18年合同登记表'!R133</f>
        <v>1</v>
      </c>
      <c r="X102" s="13" t="e">
        <f>SUM(X94:X101)</f>
        <v>#REF!</v>
      </c>
      <c r="Y102" s="290" t="e">
        <f t="shared" si="382"/>
        <v>#REF!</v>
      </c>
      <c r="Z102" s="13" t="e">
        <f t="shared" ref="Z102" si="480">SUM(Z94:Z101)</f>
        <v>#REF!</v>
      </c>
      <c r="AA102" s="13" t="e">
        <f t="shared" ref="AA102" si="481">SUM(AA94:AA101)</f>
        <v>#REF!</v>
      </c>
      <c r="AB102" s="13" t="e">
        <f t="shared" ref="AB102" si="482">SUM(AB94:AB101)</f>
        <v>#REF!</v>
      </c>
      <c r="AC102" s="13" t="e">
        <f t="shared" ref="AC102" si="483">SUM(AC94:AC101)</f>
        <v>#REF!</v>
      </c>
      <c r="AD102" s="13" t="e">
        <f t="shared" ref="AD102" si="484">SUM(AD94:AD101)</f>
        <v>#REF!</v>
      </c>
      <c r="AE102" s="13" t="e">
        <f t="shared" ref="AE102" si="485">SUM(AE94:AE101)</f>
        <v>#REF!</v>
      </c>
      <c r="AF102" s="13" t="e">
        <f t="shared" ref="AF102" si="486">SUM(AF94:AF101)</f>
        <v>#REF!</v>
      </c>
      <c r="AG102" s="13" t="e">
        <f t="shared" ref="AG102" si="487">SUM(AG94:AG101)</f>
        <v>#REF!</v>
      </c>
      <c r="AH102" s="13" t="e">
        <f t="shared" ref="AH102" si="488">SUM(AH94:AH101)</f>
        <v>#REF!</v>
      </c>
      <c r="AI102" s="13" t="e">
        <f t="shared" ref="AI102" si="489">SUM(AI94:AI101)</f>
        <v>#REF!</v>
      </c>
      <c r="AJ102" s="13" t="e">
        <f t="shared" ref="AJ102" si="490">SUM(AJ94:AJ101)</f>
        <v>#REF!</v>
      </c>
      <c r="AK102" s="13">
        <f t="shared" ref="AK102" si="491">SUM(AK94:AK101)</f>
        <v>0</v>
      </c>
      <c r="AL102" s="13" t="e">
        <f t="shared" ref="AL102" si="492">SUM(AL94:AL101)</f>
        <v>#REF!</v>
      </c>
      <c r="AM102" s="13">
        <f t="shared" ref="AM102" si="493">SUM(AM94:AM101)</f>
        <v>0</v>
      </c>
      <c r="AN102" s="13" t="e">
        <f t="shared" ref="AN102" si="494">SUM(AN94:AN101)</f>
        <v>#REF!</v>
      </c>
      <c r="AO102" s="13">
        <f t="shared" ref="AO102" si="495">SUM(AO94:AO101)</f>
        <v>0</v>
      </c>
      <c r="AP102" s="13" t="e">
        <f t="shared" ref="AP102" si="496">SUM(AP94:AP101)</f>
        <v>#REF!</v>
      </c>
      <c r="AQ102" s="13">
        <f t="shared" ref="AQ102" si="497">SUM(AQ94:AQ101)</f>
        <v>0</v>
      </c>
    </row>
    <row r="103" spans="1:43">
      <c r="A103" s="285" t="s">
        <v>48</v>
      </c>
      <c r="B103" s="13"/>
      <c r="C103" s="286"/>
      <c r="D103" s="286">
        <f>'18年合同登记表'!M134</f>
        <v>17395206.97</v>
      </c>
      <c r="E103" s="13">
        <f t="shared" ref="E103" si="498">E93+E102</f>
        <v>97470</v>
      </c>
      <c r="F103" s="13">
        <f t="shared" ref="F103" si="499">F93+F102</f>
        <v>509816</v>
      </c>
      <c r="G103" s="13">
        <f t="shared" ref="G103" si="500">G93+G102</f>
        <v>130076.3</v>
      </c>
      <c r="H103" s="13">
        <f t="shared" ref="H103" si="501">H93+H102</f>
        <v>134561</v>
      </c>
      <c r="I103" s="13">
        <f t="shared" ref="I103" si="502">I93+I102</f>
        <v>66251</v>
      </c>
      <c r="J103" s="13">
        <f t="shared" ref="J103:K103" si="503">J93+J102</f>
        <v>13577</v>
      </c>
      <c r="K103" s="13" t="e">
        <f t="shared" si="503"/>
        <v>#REF!</v>
      </c>
      <c r="L103" s="290" t="e">
        <f t="shared" si="380"/>
        <v>#REF!</v>
      </c>
      <c r="M103" s="13">
        <f t="shared" ref="M103" si="504">M93+M102</f>
        <v>330</v>
      </c>
      <c r="N103" s="13">
        <f t="shared" ref="N103" si="505">N93+N102</f>
        <v>5495</v>
      </c>
      <c r="O103" s="13">
        <f t="shared" ref="O103" si="506">O93+O102</f>
        <v>2620.2</v>
      </c>
      <c r="P103" s="13">
        <f t="shared" ref="P103" si="507">P93+P102</f>
        <v>5000</v>
      </c>
      <c r="Q103" s="13">
        <f t="shared" ref="Q103" si="508">Q93+Q102</f>
        <v>1650</v>
      </c>
      <c r="R103" s="13">
        <f t="shared" ref="R103" si="509">R93+R102</f>
        <v>330</v>
      </c>
      <c r="S103" s="13">
        <f t="shared" ref="S103" si="510">S93+S102</f>
        <v>0</v>
      </c>
      <c r="T103" s="13">
        <f t="shared" ref="T103" si="511">T93+T102</f>
        <v>0</v>
      </c>
      <c r="U103" s="13">
        <f t="shared" ref="U103:V103" si="512">U93+U102</f>
        <v>0</v>
      </c>
      <c r="V103" s="13" t="e">
        <f t="shared" si="512"/>
        <v>#REF!</v>
      </c>
      <c r="W103" s="298">
        <f>'18年合同登记表'!R134</f>
        <v>0.384028349390775</v>
      </c>
      <c r="X103" s="13" t="e">
        <f>X93+X102</f>
        <v>#REF!</v>
      </c>
      <c r="Y103" s="290" t="e">
        <f t="shared" si="382"/>
        <v>#REF!</v>
      </c>
      <c r="Z103" s="13" t="e">
        <f t="shared" ref="Z103" si="513">Z93+Z102</f>
        <v>#REF!</v>
      </c>
      <c r="AA103" s="13" t="e">
        <f t="shared" ref="AA103" si="514">AA93+AA102</f>
        <v>#REF!</v>
      </c>
      <c r="AB103" s="13" t="e">
        <f t="shared" ref="AB103" si="515">AB93+AB102</f>
        <v>#REF!</v>
      </c>
      <c r="AC103" s="13" t="e">
        <f t="shared" ref="AC103" si="516">AC93+AC102</f>
        <v>#REF!</v>
      </c>
      <c r="AD103" s="13" t="e">
        <f t="shared" ref="AD103" si="517">AD93+AD102</f>
        <v>#REF!</v>
      </c>
      <c r="AE103" s="13" t="e">
        <f t="shared" ref="AE103" si="518">AE93+AE102</f>
        <v>#REF!</v>
      </c>
      <c r="AF103" s="13" t="e">
        <f t="shared" ref="AF103" si="519">AF93+AF102</f>
        <v>#REF!</v>
      </c>
      <c r="AG103" s="13" t="e">
        <f t="shared" ref="AG103" si="520">AG93+AG102</f>
        <v>#REF!</v>
      </c>
      <c r="AH103" s="13" t="e">
        <f t="shared" ref="AH103" si="521">AH93+AH102</f>
        <v>#REF!</v>
      </c>
      <c r="AI103" s="13" t="e">
        <f t="shared" ref="AI103" si="522">AI93+AI102</f>
        <v>#REF!</v>
      </c>
      <c r="AJ103" s="13" t="e">
        <f t="shared" ref="AJ103" si="523">AJ93+AJ102</f>
        <v>#REF!</v>
      </c>
      <c r="AK103" s="13">
        <f t="shared" ref="AK103" si="524">AK93+AK102</f>
        <v>0</v>
      </c>
      <c r="AL103" s="13" t="e">
        <f t="shared" ref="AL103" si="525">AL93+AL102</f>
        <v>#REF!</v>
      </c>
      <c r="AM103" s="13">
        <f t="shared" ref="AM103" si="526">AM93+AM102</f>
        <v>0</v>
      </c>
      <c r="AN103" s="13" t="e">
        <f t="shared" ref="AN103" si="527">AN93+AN102</f>
        <v>#REF!</v>
      </c>
      <c r="AO103" s="13">
        <f t="shared" ref="AO103" si="528">AO93+AO102</f>
        <v>0</v>
      </c>
      <c r="AP103" s="13" t="e">
        <f t="shared" ref="AP103" si="529">AP93+AP102</f>
        <v>#REF!</v>
      </c>
      <c r="AQ103" s="13">
        <f t="shared" ref="AQ103" si="530">AQ93+AQ102</f>
        <v>0</v>
      </c>
    </row>
    <row r="104" spans="1:43">
      <c r="A104" s="280" t="str">
        <f>'18年合同登记表'!F135</f>
        <v>美同达</v>
      </c>
      <c r="B104" s="15" t="str">
        <f>'18年合同登记表'!I135</f>
        <v>溴化锂购销合同</v>
      </c>
      <c r="C104" s="281" t="str">
        <f>'18年合同登记表'!L135</f>
        <v>徐利斌</v>
      </c>
      <c r="D104" s="281">
        <f>'18年合同登记表'!M135</f>
        <v>51500</v>
      </c>
      <c r="E104" s="282"/>
      <c r="F104" s="3"/>
      <c r="G104" s="3"/>
      <c r="H104" s="3"/>
      <c r="I104" s="3"/>
      <c r="J104" s="3"/>
      <c r="K104" s="15">
        <f t="shared" ref="K104:K111" si="531">D104-E104-F104-G104-H104-I104-J104</f>
        <v>51500</v>
      </c>
      <c r="L104" s="289">
        <f t="shared" si="380"/>
        <v>1</v>
      </c>
      <c r="M104" s="282"/>
      <c r="N104" s="3"/>
      <c r="O104" s="3"/>
      <c r="P104" s="3"/>
      <c r="Q104" s="3"/>
      <c r="R104" s="3"/>
      <c r="S104" s="3"/>
      <c r="T104" s="3"/>
      <c r="U104" s="3">
        <v>0</v>
      </c>
      <c r="V104" s="3">
        <f>'18年合同登记表'!Q135</f>
        <v>51500</v>
      </c>
      <c r="W104" s="297">
        <f>'18年合同登记表'!R135</f>
        <v>1</v>
      </c>
      <c r="X104" s="15">
        <f t="shared" ref="X104:X113" si="532">D104-M104-N104-O104-P104-Q104-R104-U104</f>
        <v>51500</v>
      </c>
      <c r="Y104" s="289">
        <f t="shared" si="382"/>
        <v>1</v>
      </c>
      <c r="Z104" s="280">
        <f t="shared" si="383"/>
        <v>43775</v>
      </c>
      <c r="AA104" s="15">
        <f t="shared" si="384"/>
        <v>7725</v>
      </c>
      <c r="AB104" s="15">
        <f t="shared" si="385"/>
        <v>1545</v>
      </c>
      <c r="AC104" s="15">
        <f t="shared" si="386"/>
        <v>5253</v>
      </c>
      <c r="AD104" s="15">
        <f t="shared" si="387"/>
        <v>494.4</v>
      </c>
      <c r="AE104" s="15">
        <f t="shared" si="388"/>
        <v>309</v>
      </c>
      <c r="AF104" s="281">
        <f t="shared" si="389"/>
        <v>123.6</v>
      </c>
      <c r="AG104" s="280">
        <f t="shared" si="390"/>
        <v>43775</v>
      </c>
      <c r="AH104" s="15">
        <f t="shared" si="391"/>
        <v>7725</v>
      </c>
      <c r="AI104" s="15">
        <f t="shared" si="392"/>
        <v>1545</v>
      </c>
      <c r="AJ104" s="15">
        <f t="shared" si="393"/>
        <v>5253</v>
      </c>
      <c r="AK104" s="49"/>
      <c r="AL104" s="15">
        <f t="shared" si="394"/>
        <v>494.4</v>
      </c>
      <c r="AM104" s="49"/>
      <c r="AN104" s="15">
        <f t="shared" si="395"/>
        <v>309</v>
      </c>
      <c r="AO104" s="49"/>
      <c r="AP104" s="15">
        <f t="shared" si="396"/>
        <v>123.6</v>
      </c>
      <c r="AQ104" s="316"/>
    </row>
    <row r="105" spans="1:43">
      <c r="A105" s="280" t="str">
        <f>'18年合同登记表'!F136</f>
        <v>行宫酒店</v>
      </c>
      <c r="B105" s="15" t="str">
        <f>'18年合同登记表'!I136</f>
        <v>锅炉年度维保</v>
      </c>
      <c r="C105" s="281" t="str">
        <f>'18年合同登记表'!L136</f>
        <v>陈勇</v>
      </c>
      <c r="D105" s="281">
        <f>'18年合同登记表'!M136</f>
        <v>14000</v>
      </c>
      <c r="E105" s="282"/>
      <c r="F105" s="3"/>
      <c r="G105" s="3"/>
      <c r="H105" s="3"/>
      <c r="I105" s="3"/>
      <c r="J105" s="3"/>
      <c r="K105" s="15">
        <f t="shared" si="531"/>
        <v>14000</v>
      </c>
      <c r="L105" s="289">
        <f t="shared" si="380"/>
        <v>1</v>
      </c>
      <c r="M105" s="282"/>
      <c r="N105" s="3"/>
      <c r="O105" s="3"/>
      <c r="P105" s="3"/>
      <c r="Q105" s="3"/>
      <c r="R105" s="3"/>
      <c r="S105" s="3"/>
      <c r="T105" s="3"/>
      <c r="U105" s="3">
        <v>0</v>
      </c>
      <c r="V105" s="3">
        <f>'18年合同登记表'!Q136</f>
        <v>14000</v>
      </c>
      <c r="W105" s="297">
        <f>'18年合同登记表'!R136</f>
        <v>1</v>
      </c>
      <c r="X105" s="15">
        <f t="shared" si="532"/>
        <v>14000</v>
      </c>
      <c r="Y105" s="289">
        <f t="shared" si="382"/>
        <v>1</v>
      </c>
      <c r="Z105" s="280">
        <f t="shared" si="383"/>
        <v>11900</v>
      </c>
      <c r="AA105" s="15">
        <f t="shared" si="384"/>
        <v>2100</v>
      </c>
      <c r="AB105" s="15">
        <f t="shared" si="385"/>
        <v>420</v>
      </c>
      <c r="AC105" s="15">
        <f t="shared" si="386"/>
        <v>1428</v>
      </c>
      <c r="AD105" s="15">
        <f t="shared" si="387"/>
        <v>134.4</v>
      </c>
      <c r="AE105" s="15">
        <f t="shared" si="388"/>
        <v>84</v>
      </c>
      <c r="AF105" s="281">
        <f t="shared" si="389"/>
        <v>33.6</v>
      </c>
      <c r="AG105" s="280">
        <f t="shared" si="390"/>
        <v>11900</v>
      </c>
      <c r="AH105" s="15">
        <f t="shared" si="391"/>
        <v>2100</v>
      </c>
      <c r="AI105" s="15">
        <f t="shared" si="392"/>
        <v>420</v>
      </c>
      <c r="AJ105" s="15">
        <f t="shared" si="393"/>
        <v>1428</v>
      </c>
      <c r="AK105" s="49"/>
      <c r="AL105" s="15">
        <f t="shared" si="394"/>
        <v>134.4</v>
      </c>
      <c r="AM105" s="49"/>
      <c r="AN105" s="15">
        <f t="shared" si="395"/>
        <v>84</v>
      </c>
      <c r="AO105" s="49"/>
      <c r="AP105" s="15">
        <f t="shared" si="396"/>
        <v>33.6</v>
      </c>
      <c r="AQ105" s="316"/>
    </row>
    <row r="106" spans="1:43">
      <c r="A106" s="280" t="str">
        <f>'18年合同登记表'!F137</f>
        <v>中泽农</v>
      </c>
      <c r="B106" s="15" t="str">
        <f>'18年合同登记表'!I137</f>
        <v>直燃机年度维保</v>
      </c>
      <c r="C106" s="281" t="str">
        <f>'18年合同登记表'!L137</f>
        <v>陈勇</v>
      </c>
      <c r="D106" s="281">
        <f>'18年合同登记表'!M137</f>
        <v>23000</v>
      </c>
      <c r="E106" s="282"/>
      <c r="F106" s="3"/>
      <c r="G106" s="3"/>
      <c r="H106" s="3"/>
      <c r="I106" s="3"/>
      <c r="J106" s="3"/>
      <c r="K106" s="15">
        <f t="shared" si="531"/>
        <v>23000</v>
      </c>
      <c r="L106" s="289">
        <f t="shared" si="380"/>
        <v>1</v>
      </c>
      <c r="M106" s="282"/>
      <c r="N106" s="3"/>
      <c r="O106" s="3"/>
      <c r="P106" s="3"/>
      <c r="Q106" s="3"/>
      <c r="R106" s="3"/>
      <c r="S106" s="3"/>
      <c r="T106" s="3"/>
      <c r="U106" s="3">
        <v>0</v>
      </c>
      <c r="V106" s="3">
        <f>'18年合同登记表'!Q137</f>
        <v>23000</v>
      </c>
      <c r="W106" s="297">
        <f>'18年合同登记表'!R137</f>
        <v>1</v>
      </c>
      <c r="X106" s="15">
        <f t="shared" si="532"/>
        <v>23000</v>
      </c>
      <c r="Y106" s="289">
        <f t="shared" si="382"/>
        <v>1</v>
      </c>
      <c r="Z106" s="280">
        <f t="shared" si="383"/>
        <v>19550</v>
      </c>
      <c r="AA106" s="15">
        <f t="shared" si="384"/>
        <v>3450</v>
      </c>
      <c r="AB106" s="15">
        <f t="shared" si="385"/>
        <v>690</v>
      </c>
      <c r="AC106" s="15">
        <f t="shared" si="386"/>
        <v>2346</v>
      </c>
      <c r="AD106" s="15">
        <f t="shared" si="387"/>
        <v>220.8</v>
      </c>
      <c r="AE106" s="15">
        <f t="shared" si="388"/>
        <v>138</v>
      </c>
      <c r="AF106" s="281">
        <f t="shared" si="389"/>
        <v>55.2</v>
      </c>
      <c r="AG106" s="280">
        <f t="shared" si="390"/>
        <v>19550</v>
      </c>
      <c r="AH106" s="15">
        <f t="shared" si="391"/>
        <v>3450</v>
      </c>
      <c r="AI106" s="15">
        <f t="shared" si="392"/>
        <v>690</v>
      </c>
      <c r="AJ106" s="15">
        <f t="shared" si="393"/>
        <v>2346</v>
      </c>
      <c r="AK106" s="49"/>
      <c r="AL106" s="15">
        <f t="shared" si="394"/>
        <v>220.8</v>
      </c>
      <c r="AM106" s="49"/>
      <c r="AN106" s="15">
        <f t="shared" si="395"/>
        <v>138</v>
      </c>
      <c r="AO106" s="49"/>
      <c r="AP106" s="15">
        <f t="shared" si="396"/>
        <v>55.2</v>
      </c>
      <c r="AQ106" s="316"/>
    </row>
    <row r="107" spans="1:43">
      <c r="A107" s="280" t="str">
        <f>'18年合同登记表'!F138</f>
        <v>劝宝新都汇</v>
      </c>
      <c r="B107" s="15" t="str">
        <f>'18年合同登记表'!I138</f>
        <v>直燃机配件销售维修</v>
      </c>
      <c r="C107" s="281" t="str">
        <f>'18年合同登记表'!L138</f>
        <v>陈勇</v>
      </c>
      <c r="D107" s="281">
        <f>'18年合同登记表'!M138</f>
        <v>30000</v>
      </c>
      <c r="E107" s="282"/>
      <c r="F107" s="3"/>
      <c r="G107" s="3"/>
      <c r="H107" s="3"/>
      <c r="I107" s="3"/>
      <c r="J107" s="3"/>
      <c r="K107" s="15">
        <f t="shared" si="531"/>
        <v>30000</v>
      </c>
      <c r="L107" s="289">
        <f t="shared" si="380"/>
        <v>1</v>
      </c>
      <c r="M107" s="282"/>
      <c r="N107" s="3"/>
      <c r="O107" s="3"/>
      <c r="P107" s="3"/>
      <c r="Q107" s="3"/>
      <c r="R107" s="3"/>
      <c r="S107" s="3"/>
      <c r="T107" s="3"/>
      <c r="U107" s="3">
        <v>0</v>
      </c>
      <c r="V107" s="3">
        <f>'18年合同登记表'!Q138</f>
        <v>30000</v>
      </c>
      <c r="W107" s="297">
        <f>'18年合同登记表'!R138</f>
        <v>1</v>
      </c>
      <c r="X107" s="15">
        <f t="shared" si="532"/>
        <v>30000</v>
      </c>
      <c r="Y107" s="289">
        <f t="shared" si="382"/>
        <v>1</v>
      </c>
      <c r="Z107" s="280">
        <f t="shared" si="383"/>
        <v>25500</v>
      </c>
      <c r="AA107" s="15">
        <f t="shared" si="384"/>
        <v>4500</v>
      </c>
      <c r="AB107" s="15">
        <f t="shared" si="385"/>
        <v>900</v>
      </c>
      <c r="AC107" s="15">
        <f t="shared" si="386"/>
        <v>3060</v>
      </c>
      <c r="AD107" s="15">
        <f t="shared" si="387"/>
        <v>288</v>
      </c>
      <c r="AE107" s="15">
        <f t="shared" si="388"/>
        <v>180</v>
      </c>
      <c r="AF107" s="281">
        <f t="shared" si="389"/>
        <v>72</v>
      </c>
      <c r="AG107" s="280">
        <f t="shared" si="390"/>
        <v>25500</v>
      </c>
      <c r="AH107" s="15">
        <f t="shared" si="391"/>
        <v>4500</v>
      </c>
      <c r="AI107" s="15">
        <f t="shared" si="392"/>
        <v>900</v>
      </c>
      <c r="AJ107" s="15">
        <f t="shared" si="393"/>
        <v>3060</v>
      </c>
      <c r="AK107" s="49"/>
      <c r="AL107" s="15">
        <f t="shared" si="394"/>
        <v>288</v>
      </c>
      <c r="AM107" s="49"/>
      <c r="AN107" s="15">
        <f t="shared" si="395"/>
        <v>180</v>
      </c>
      <c r="AO107" s="49"/>
      <c r="AP107" s="15">
        <f t="shared" si="396"/>
        <v>72</v>
      </c>
      <c r="AQ107" s="316"/>
    </row>
    <row r="108" spans="1:43">
      <c r="A108" s="280" t="str">
        <f>'18年合同登记表'!F141</f>
        <v>华春新能源</v>
      </c>
      <c r="B108" s="15" t="str">
        <f>'18年合同登记表'!I141</f>
        <v>吸收式热泵年度维保</v>
      </c>
      <c r="C108" s="281" t="str">
        <f>'18年合同登记表'!L141</f>
        <v>陈勇</v>
      </c>
      <c r="D108" s="281">
        <f>'18年合同登记表'!M141</f>
        <v>26298.6</v>
      </c>
      <c r="E108" s="282"/>
      <c r="F108" s="3"/>
      <c r="G108" s="3"/>
      <c r="H108" s="3"/>
      <c r="I108" s="3"/>
      <c r="J108" s="3"/>
      <c r="K108" s="15">
        <f t="shared" si="531"/>
        <v>26298.6</v>
      </c>
      <c r="L108" s="289">
        <f t="shared" si="380"/>
        <v>1</v>
      </c>
      <c r="M108" s="282"/>
      <c r="N108" s="3"/>
      <c r="O108" s="3"/>
      <c r="P108" s="3"/>
      <c r="Q108" s="3"/>
      <c r="R108" s="3"/>
      <c r="S108" s="3"/>
      <c r="T108" s="3"/>
      <c r="U108" s="3">
        <v>0</v>
      </c>
      <c r="V108" s="3" t="e">
        <f>'18年合同登记表'!#REF!</f>
        <v>#REF!</v>
      </c>
      <c r="W108" s="297" t="e">
        <f>'18年合同登记表'!#REF!</f>
        <v>#REF!</v>
      </c>
      <c r="X108" s="15">
        <f t="shared" si="532"/>
        <v>26298.6</v>
      </c>
      <c r="Y108" s="289">
        <f t="shared" si="382"/>
        <v>1</v>
      </c>
      <c r="Z108" s="280">
        <f t="shared" si="383"/>
        <v>22353.81</v>
      </c>
      <c r="AA108" s="15">
        <f t="shared" si="384"/>
        <v>3944.79</v>
      </c>
      <c r="AB108" s="15">
        <f t="shared" si="385"/>
        <v>788.958</v>
      </c>
      <c r="AC108" s="15">
        <f t="shared" si="386"/>
        <v>2682.4572</v>
      </c>
      <c r="AD108" s="15">
        <f t="shared" si="387"/>
        <v>252.46656</v>
      </c>
      <c r="AE108" s="15">
        <f t="shared" si="388"/>
        <v>157.7916</v>
      </c>
      <c r="AF108" s="281">
        <f t="shared" si="389"/>
        <v>63.11664</v>
      </c>
      <c r="AG108" s="280">
        <f t="shared" si="390"/>
        <v>22353.81</v>
      </c>
      <c r="AH108" s="15">
        <f t="shared" si="391"/>
        <v>3944.79</v>
      </c>
      <c r="AI108" s="15" t="e">
        <f t="shared" si="392"/>
        <v>#REF!</v>
      </c>
      <c r="AJ108" s="15" t="e">
        <f t="shared" si="393"/>
        <v>#REF!</v>
      </c>
      <c r="AK108" s="49"/>
      <c r="AL108" s="15" t="e">
        <f t="shared" si="394"/>
        <v>#REF!</v>
      </c>
      <c r="AM108" s="49"/>
      <c r="AN108" s="15" t="e">
        <f t="shared" si="395"/>
        <v>#REF!</v>
      </c>
      <c r="AO108" s="49"/>
      <c r="AP108" s="15" t="e">
        <f t="shared" si="396"/>
        <v>#REF!</v>
      </c>
      <c r="AQ108" s="316"/>
    </row>
    <row r="109" spans="1:43">
      <c r="A109" s="280" t="e">
        <f>'18年合同登记表'!#REF!</f>
        <v>#REF!</v>
      </c>
      <c r="B109" s="15" t="e">
        <f>'18年合同登记表'!#REF!</f>
        <v>#REF!</v>
      </c>
      <c r="C109" s="281" t="e">
        <f>'18年合同登记表'!#REF!</f>
        <v>#REF!</v>
      </c>
      <c r="D109" s="281" t="e">
        <f>'18年合同登记表'!#REF!</f>
        <v>#REF!</v>
      </c>
      <c r="E109" s="282"/>
      <c r="F109" s="3"/>
      <c r="G109" s="3"/>
      <c r="H109" s="3"/>
      <c r="I109" s="3"/>
      <c r="J109" s="3"/>
      <c r="K109" s="15" t="e">
        <f t="shared" si="531"/>
        <v>#REF!</v>
      </c>
      <c r="L109" s="289" t="e">
        <f t="shared" si="380"/>
        <v>#REF!</v>
      </c>
      <c r="M109" s="282"/>
      <c r="N109" s="3"/>
      <c r="O109" s="3"/>
      <c r="P109" s="3"/>
      <c r="Q109" s="3"/>
      <c r="R109" s="3"/>
      <c r="S109" s="3"/>
      <c r="T109" s="3"/>
      <c r="U109" s="3">
        <v>0</v>
      </c>
      <c r="V109" s="3" t="e">
        <f>'18年合同登记表'!#REF!</f>
        <v>#REF!</v>
      </c>
      <c r="W109" s="297" t="e">
        <f>'18年合同登记表'!#REF!</f>
        <v>#REF!</v>
      </c>
      <c r="X109" s="15" t="e">
        <f t="shared" si="532"/>
        <v>#REF!</v>
      </c>
      <c r="Y109" s="289" t="e">
        <f t="shared" si="382"/>
        <v>#REF!</v>
      </c>
      <c r="Z109" s="280" t="e">
        <f t="shared" si="383"/>
        <v>#REF!</v>
      </c>
      <c r="AA109" s="15" t="e">
        <f t="shared" si="384"/>
        <v>#REF!</v>
      </c>
      <c r="AB109" s="15" t="e">
        <f t="shared" si="385"/>
        <v>#REF!</v>
      </c>
      <c r="AC109" s="15" t="e">
        <f t="shared" si="386"/>
        <v>#REF!</v>
      </c>
      <c r="AD109" s="15" t="e">
        <f t="shared" si="387"/>
        <v>#REF!</v>
      </c>
      <c r="AE109" s="15" t="e">
        <f t="shared" si="388"/>
        <v>#REF!</v>
      </c>
      <c r="AF109" s="281" t="e">
        <f t="shared" si="389"/>
        <v>#REF!</v>
      </c>
      <c r="AG109" s="280" t="e">
        <f t="shared" si="390"/>
        <v>#REF!</v>
      </c>
      <c r="AH109" s="15" t="e">
        <f t="shared" si="391"/>
        <v>#REF!</v>
      </c>
      <c r="AI109" s="15" t="e">
        <f t="shared" si="392"/>
        <v>#REF!</v>
      </c>
      <c r="AJ109" s="15" t="e">
        <f t="shared" si="393"/>
        <v>#REF!</v>
      </c>
      <c r="AK109" s="49"/>
      <c r="AL109" s="15" t="e">
        <f t="shared" si="394"/>
        <v>#REF!</v>
      </c>
      <c r="AM109" s="49"/>
      <c r="AN109" s="15" t="e">
        <f t="shared" si="395"/>
        <v>#REF!</v>
      </c>
      <c r="AO109" s="49"/>
      <c r="AP109" s="15" t="e">
        <f t="shared" si="396"/>
        <v>#REF!</v>
      </c>
      <c r="AQ109" s="316"/>
    </row>
    <row r="110" spans="1:43">
      <c r="A110" s="280" t="e">
        <f>'18年合同登记表'!#REF!</f>
        <v>#REF!</v>
      </c>
      <c r="B110" s="15" t="e">
        <f>'18年合同登记表'!#REF!</f>
        <v>#REF!</v>
      </c>
      <c r="C110" s="281" t="e">
        <f>'18年合同登记表'!#REF!</f>
        <v>#REF!</v>
      </c>
      <c r="D110" s="281" t="e">
        <f>'18年合同登记表'!#REF!</f>
        <v>#REF!</v>
      </c>
      <c r="E110" s="282"/>
      <c r="F110" s="3"/>
      <c r="G110" s="3"/>
      <c r="H110" s="3"/>
      <c r="I110" s="3"/>
      <c r="J110" s="3"/>
      <c r="K110" s="15" t="e">
        <f t="shared" si="531"/>
        <v>#REF!</v>
      </c>
      <c r="L110" s="289" t="e">
        <f t="shared" si="380"/>
        <v>#REF!</v>
      </c>
      <c r="M110" s="282"/>
      <c r="N110" s="3"/>
      <c r="O110" s="3"/>
      <c r="P110" s="3"/>
      <c r="Q110" s="3"/>
      <c r="R110" s="3"/>
      <c r="S110" s="3"/>
      <c r="T110" s="3"/>
      <c r="U110" s="3">
        <v>0</v>
      </c>
      <c r="V110" s="3" t="e">
        <f>'18年合同登记表'!#REF!</f>
        <v>#REF!</v>
      </c>
      <c r="W110" s="297" t="e">
        <f>'18年合同登记表'!#REF!</f>
        <v>#REF!</v>
      </c>
      <c r="X110" s="15" t="e">
        <f t="shared" si="532"/>
        <v>#REF!</v>
      </c>
      <c r="Y110" s="289" t="e">
        <f t="shared" si="382"/>
        <v>#REF!</v>
      </c>
      <c r="Z110" s="280" t="e">
        <f t="shared" si="383"/>
        <v>#REF!</v>
      </c>
      <c r="AA110" s="15" t="e">
        <f t="shared" si="384"/>
        <v>#REF!</v>
      </c>
      <c r="AB110" s="15" t="e">
        <f t="shared" si="385"/>
        <v>#REF!</v>
      </c>
      <c r="AC110" s="15" t="e">
        <f t="shared" si="386"/>
        <v>#REF!</v>
      </c>
      <c r="AD110" s="15" t="e">
        <f t="shared" si="387"/>
        <v>#REF!</v>
      </c>
      <c r="AE110" s="15" t="e">
        <f t="shared" si="388"/>
        <v>#REF!</v>
      </c>
      <c r="AF110" s="281" t="e">
        <f t="shared" si="389"/>
        <v>#REF!</v>
      </c>
      <c r="AG110" s="280" t="e">
        <f t="shared" si="390"/>
        <v>#REF!</v>
      </c>
      <c r="AH110" s="15" t="e">
        <f t="shared" si="391"/>
        <v>#REF!</v>
      </c>
      <c r="AI110" s="15" t="e">
        <f t="shared" si="392"/>
        <v>#REF!</v>
      </c>
      <c r="AJ110" s="15" t="e">
        <f t="shared" si="393"/>
        <v>#REF!</v>
      </c>
      <c r="AK110" s="49"/>
      <c r="AL110" s="15" t="e">
        <f t="shared" si="394"/>
        <v>#REF!</v>
      </c>
      <c r="AM110" s="49"/>
      <c r="AN110" s="15" t="e">
        <f t="shared" si="395"/>
        <v>#REF!</v>
      </c>
      <c r="AO110" s="49"/>
      <c r="AP110" s="15" t="e">
        <f t="shared" si="396"/>
        <v>#REF!</v>
      </c>
      <c r="AQ110" s="316"/>
    </row>
    <row r="111" spans="1:43">
      <c r="A111" s="280" t="e">
        <f>'18年合同登记表'!#REF!</f>
        <v>#REF!</v>
      </c>
      <c r="B111" s="15" t="e">
        <f>'18年合同登记表'!#REF!</f>
        <v>#REF!</v>
      </c>
      <c r="C111" s="281" t="e">
        <f>'18年合同登记表'!#REF!</f>
        <v>#REF!</v>
      </c>
      <c r="D111" s="281" t="e">
        <f>'18年合同登记表'!#REF!</f>
        <v>#REF!</v>
      </c>
      <c r="E111" s="282"/>
      <c r="F111" s="3"/>
      <c r="G111" s="3"/>
      <c r="H111" s="3"/>
      <c r="I111" s="3"/>
      <c r="J111" s="3"/>
      <c r="K111" s="15" t="e">
        <f t="shared" si="531"/>
        <v>#REF!</v>
      </c>
      <c r="L111" s="289" t="e">
        <f t="shared" si="380"/>
        <v>#REF!</v>
      </c>
      <c r="M111" s="282"/>
      <c r="N111" s="3"/>
      <c r="O111" s="3"/>
      <c r="P111" s="3"/>
      <c r="Q111" s="3"/>
      <c r="R111" s="3"/>
      <c r="S111" s="3"/>
      <c r="T111" s="3"/>
      <c r="U111" s="3">
        <v>0</v>
      </c>
      <c r="V111" s="3" t="e">
        <f>'18年合同登记表'!#REF!</f>
        <v>#REF!</v>
      </c>
      <c r="W111" s="297" t="e">
        <f>'18年合同登记表'!#REF!</f>
        <v>#REF!</v>
      </c>
      <c r="X111" s="15" t="e">
        <f t="shared" si="532"/>
        <v>#REF!</v>
      </c>
      <c r="Y111" s="289" t="e">
        <f t="shared" si="382"/>
        <v>#REF!</v>
      </c>
      <c r="Z111" s="280" t="e">
        <f t="shared" si="383"/>
        <v>#REF!</v>
      </c>
      <c r="AA111" s="15" t="e">
        <f t="shared" si="384"/>
        <v>#REF!</v>
      </c>
      <c r="AB111" s="15" t="e">
        <f t="shared" si="385"/>
        <v>#REF!</v>
      </c>
      <c r="AC111" s="15" t="e">
        <f t="shared" si="386"/>
        <v>#REF!</v>
      </c>
      <c r="AD111" s="15" t="e">
        <f t="shared" si="387"/>
        <v>#REF!</v>
      </c>
      <c r="AE111" s="15" t="e">
        <f t="shared" si="388"/>
        <v>#REF!</v>
      </c>
      <c r="AF111" s="281" t="e">
        <f t="shared" si="389"/>
        <v>#REF!</v>
      </c>
      <c r="AG111" s="280" t="e">
        <f t="shared" si="390"/>
        <v>#REF!</v>
      </c>
      <c r="AH111" s="15" t="e">
        <f t="shared" si="391"/>
        <v>#REF!</v>
      </c>
      <c r="AI111" s="15" t="e">
        <f t="shared" si="392"/>
        <v>#REF!</v>
      </c>
      <c r="AJ111" s="15" t="e">
        <f t="shared" si="393"/>
        <v>#REF!</v>
      </c>
      <c r="AK111" s="49"/>
      <c r="AL111" s="15" t="e">
        <f t="shared" si="394"/>
        <v>#REF!</v>
      </c>
      <c r="AM111" s="49"/>
      <c r="AN111" s="15" t="e">
        <f t="shared" si="395"/>
        <v>#REF!</v>
      </c>
      <c r="AO111" s="49"/>
      <c r="AP111" s="15" t="e">
        <f t="shared" si="396"/>
        <v>#REF!</v>
      </c>
      <c r="AQ111" s="316"/>
    </row>
    <row r="112" spans="1:43">
      <c r="A112" s="285" t="s">
        <v>49</v>
      </c>
      <c r="B112" s="13"/>
      <c r="C112" s="286"/>
      <c r="D112" s="286">
        <f>'18年合同登记表'!M139</f>
        <v>118500</v>
      </c>
      <c r="E112" s="13">
        <f t="shared" ref="E112" si="533">SUM(E104:E111)</f>
        <v>0</v>
      </c>
      <c r="F112" s="13">
        <f t="shared" ref="F112" si="534">SUM(F104:F111)</f>
        <v>0</v>
      </c>
      <c r="G112" s="13">
        <f t="shared" ref="G112" si="535">SUM(G104:G111)</f>
        <v>0</v>
      </c>
      <c r="H112" s="13">
        <f t="shared" ref="H112" si="536">SUM(H104:H111)</f>
        <v>0</v>
      </c>
      <c r="I112" s="13">
        <f t="shared" ref="I112" si="537">SUM(I104:I111)</f>
        <v>0</v>
      </c>
      <c r="J112" s="13">
        <f t="shared" ref="J112:K112" si="538">SUM(J104:J111)</f>
        <v>0</v>
      </c>
      <c r="K112" s="13" t="e">
        <f t="shared" si="538"/>
        <v>#REF!</v>
      </c>
      <c r="L112" s="290" t="e">
        <f t="shared" si="380"/>
        <v>#REF!</v>
      </c>
      <c r="M112" s="13">
        <f t="shared" ref="M112" si="539">SUM(M104:M111)</f>
        <v>0</v>
      </c>
      <c r="N112" s="13">
        <f t="shared" ref="N112" si="540">SUM(N104:N111)</f>
        <v>0</v>
      </c>
      <c r="O112" s="13">
        <f t="shared" ref="O112" si="541">SUM(O104:O111)</f>
        <v>0</v>
      </c>
      <c r="P112" s="13">
        <f t="shared" ref="P112" si="542">SUM(P104:P111)</f>
        <v>0</v>
      </c>
      <c r="Q112" s="13">
        <f t="shared" ref="Q112" si="543">SUM(Q104:Q111)</f>
        <v>0</v>
      </c>
      <c r="R112" s="13">
        <f t="shared" ref="R112" si="544">SUM(R104:R111)</f>
        <v>0</v>
      </c>
      <c r="S112" s="13">
        <f t="shared" ref="S112" si="545">SUM(S104:S111)</f>
        <v>0</v>
      </c>
      <c r="T112" s="13">
        <f t="shared" ref="T112" si="546">SUM(T104:T111)</f>
        <v>0</v>
      </c>
      <c r="U112" s="13">
        <f t="shared" ref="U112:V112" si="547">SUM(U104:U111)</f>
        <v>0</v>
      </c>
      <c r="V112" s="13" t="e">
        <f t="shared" si="547"/>
        <v>#REF!</v>
      </c>
      <c r="W112" s="298">
        <f>'18年合同登记表'!R139</f>
        <v>1</v>
      </c>
      <c r="X112" s="13" t="e">
        <f>SUM(X104:X111)</f>
        <v>#REF!</v>
      </c>
      <c r="Y112" s="290" t="e">
        <f t="shared" si="382"/>
        <v>#REF!</v>
      </c>
      <c r="Z112" s="13" t="e">
        <f t="shared" ref="Z112" si="548">SUM(Z104:Z111)</f>
        <v>#REF!</v>
      </c>
      <c r="AA112" s="13" t="e">
        <f t="shared" ref="AA112" si="549">SUM(AA104:AA111)</f>
        <v>#REF!</v>
      </c>
      <c r="AB112" s="13" t="e">
        <f t="shared" ref="AB112" si="550">SUM(AB104:AB111)</f>
        <v>#REF!</v>
      </c>
      <c r="AC112" s="13" t="e">
        <f t="shared" ref="AC112" si="551">SUM(AC104:AC111)</f>
        <v>#REF!</v>
      </c>
      <c r="AD112" s="13" t="e">
        <f t="shared" ref="AD112" si="552">SUM(AD104:AD111)</f>
        <v>#REF!</v>
      </c>
      <c r="AE112" s="13" t="e">
        <f t="shared" ref="AE112" si="553">SUM(AE104:AE111)</f>
        <v>#REF!</v>
      </c>
      <c r="AF112" s="13" t="e">
        <f t="shared" ref="AF112" si="554">SUM(AF104:AF111)</f>
        <v>#REF!</v>
      </c>
      <c r="AG112" s="13" t="e">
        <f t="shared" ref="AG112" si="555">SUM(AG104:AG111)</f>
        <v>#REF!</v>
      </c>
      <c r="AH112" s="13" t="e">
        <f t="shared" ref="AH112" si="556">SUM(AH104:AH111)</f>
        <v>#REF!</v>
      </c>
      <c r="AI112" s="13" t="e">
        <f t="shared" ref="AI112" si="557">SUM(AI104:AI111)</f>
        <v>#REF!</v>
      </c>
      <c r="AJ112" s="13" t="e">
        <f t="shared" ref="AJ112" si="558">SUM(AJ104:AJ111)</f>
        <v>#REF!</v>
      </c>
      <c r="AK112" s="13">
        <f t="shared" ref="AK112" si="559">SUM(AK104:AK111)</f>
        <v>0</v>
      </c>
      <c r="AL112" s="13" t="e">
        <f t="shared" ref="AL112" si="560">SUM(AL104:AL111)</f>
        <v>#REF!</v>
      </c>
      <c r="AM112" s="13">
        <f t="shared" ref="AM112" si="561">SUM(AM104:AM111)</f>
        <v>0</v>
      </c>
      <c r="AN112" s="13" t="e">
        <f t="shared" ref="AN112" si="562">SUM(AN104:AN111)</f>
        <v>#REF!</v>
      </c>
      <c r="AO112" s="13">
        <f t="shared" ref="AO112" si="563">SUM(AO104:AO111)</f>
        <v>0</v>
      </c>
      <c r="AP112" s="13" t="e">
        <f t="shared" ref="AP112" si="564">SUM(AP104:AP111)</f>
        <v>#REF!</v>
      </c>
      <c r="AQ112" s="13">
        <f t="shared" ref="AQ112" si="565">SUM(AQ104:AQ111)</f>
        <v>0</v>
      </c>
    </row>
    <row r="113" spans="1:43">
      <c r="A113" s="285" t="s">
        <v>50</v>
      </c>
      <c r="B113" s="13"/>
      <c r="C113" s="286"/>
      <c r="D113" s="286">
        <f>'18年合同登记表'!M140</f>
        <v>17513706.97</v>
      </c>
      <c r="E113" s="13">
        <f t="shared" ref="E113" si="566">E103+E112</f>
        <v>97470</v>
      </c>
      <c r="F113" s="13">
        <f t="shared" ref="F113" si="567">F103+F112</f>
        <v>509816</v>
      </c>
      <c r="G113" s="13">
        <f t="shared" ref="G113" si="568">G103+G112</f>
        <v>130076.3</v>
      </c>
      <c r="H113" s="13">
        <f t="shared" ref="H113" si="569">H103+H112</f>
        <v>134561</v>
      </c>
      <c r="I113" s="13">
        <f t="shared" ref="I113" si="570">I103+I112</f>
        <v>66251</v>
      </c>
      <c r="J113" s="13">
        <f t="shared" ref="J113:K113" si="571">J103+J112</f>
        <v>13577</v>
      </c>
      <c r="K113" s="13" t="e">
        <f t="shared" si="571"/>
        <v>#REF!</v>
      </c>
      <c r="L113" s="290" t="e">
        <f t="shared" si="380"/>
        <v>#REF!</v>
      </c>
      <c r="M113" s="13">
        <f t="shared" ref="M113" si="572">M103+M112</f>
        <v>330</v>
      </c>
      <c r="N113" s="13">
        <f t="shared" ref="N113" si="573">N103+N112</f>
        <v>5495</v>
      </c>
      <c r="O113" s="13">
        <f t="shared" ref="O113" si="574">O103+O112</f>
        <v>2620.2</v>
      </c>
      <c r="P113" s="13">
        <f t="shared" ref="P113" si="575">P103+P112</f>
        <v>5000</v>
      </c>
      <c r="Q113" s="13">
        <f t="shared" ref="Q113" si="576">Q103+Q112</f>
        <v>1650</v>
      </c>
      <c r="R113" s="13">
        <f t="shared" ref="R113" si="577">R103+R112</f>
        <v>330</v>
      </c>
      <c r="S113" s="13">
        <f t="shared" ref="S113" si="578">S103+S112</f>
        <v>0</v>
      </c>
      <c r="T113" s="13">
        <f t="shared" ref="T113" si="579">T103+T112</f>
        <v>0</v>
      </c>
      <c r="U113" s="13">
        <f t="shared" ref="U113:V113" si="580">U103+U112</f>
        <v>0</v>
      </c>
      <c r="V113" s="13" t="e">
        <f t="shared" si="580"/>
        <v>#REF!</v>
      </c>
      <c r="W113" s="298">
        <f>'18年合同登记表'!R140</f>
        <v>0.38819609301708</v>
      </c>
      <c r="X113" s="13" t="e">
        <f>X103+X112</f>
        <v>#REF!</v>
      </c>
      <c r="Y113" s="290" t="e">
        <f t="shared" si="382"/>
        <v>#REF!</v>
      </c>
      <c r="Z113" s="13" t="e">
        <f t="shared" ref="Z113" si="581">Z103+Z112</f>
        <v>#REF!</v>
      </c>
      <c r="AA113" s="13" t="e">
        <f t="shared" ref="AA113" si="582">AA103+AA112</f>
        <v>#REF!</v>
      </c>
      <c r="AB113" s="13" t="e">
        <f t="shared" ref="AB113" si="583">AB103+AB112</f>
        <v>#REF!</v>
      </c>
      <c r="AC113" s="13" t="e">
        <f t="shared" ref="AC113" si="584">AC103+AC112</f>
        <v>#REF!</v>
      </c>
      <c r="AD113" s="13" t="e">
        <f t="shared" ref="AD113" si="585">AD103+AD112</f>
        <v>#REF!</v>
      </c>
      <c r="AE113" s="13" t="e">
        <f t="shared" ref="AE113" si="586">AE103+AE112</f>
        <v>#REF!</v>
      </c>
      <c r="AF113" s="13" t="e">
        <f t="shared" ref="AF113" si="587">AF103+AF112</f>
        <v>#REF!</v>
      </c>
      <c r="AG113" s="13" t="e">
        <f t="shared" ref="AG113" si="588">AG103+AG112</f>
        <v>#REF!</v>
      </c>
      <c r="AH113" s="13" t="e">
        <f t="shared" ref="AH113" si="589">AH103+AH112</f>
        <v>#REF!</v>
      </c>
      <c r="AI113" s="13" t="e">
        <f t="shared" ref="AI113" si="590">AI103+AI112</f>
        <v>#REF!</v>
      </c>
      <c r="AJ113" s="13" t="e">
        <f t="shared" ref="AJ113" si="591">AJ103+AJ112</f>
        <v>#REF!</v>
      </c>
      <c r="AK113" s="13">
        <f t="shared" ref="AK113" si="592">AK103+AK112</f>
        <v>0</v>
      </c>
      <c r="AL113" s="13" t="e">
        <f t="shared" ref="AL113" si="593">AL103+AL112</f>
        <v>#REF!</v>
      </c>
      <c r="AM113" s="13">
        <f t="shared" ref="AM113" si="594">AM103+AM112</f>
        <v>0</v>
      </c>
      <c r="AN113" s="13" t="e">
        <f t="shared" ref="AN113" si="595">AN103+AN112</f>
        <v>#REF!</v>
      </c>
      <c r="AO113" s="13">
        <f t="shared" ref="AO113" si="596">AO103+AO112</f>
        <v>0</v>
      </c>
      <c r="AP113" s="13" t="e">
        <f t="shared" ref="AP113" si="597">AP103+AP112</f>
        <v>#REF!</v>
      </c>
      <c r="AQ113" s="13">
        <f t="shared" ref="AQ113" si="598">AQ103+AQ112</f>
        <v>0</v>
      </c>
    </row>
    <row r="114" spans="1:43">
      <c r="A114" s="280" t="e">
        <f>'18年合同登记表'!#REF!</f>
        <v>#REF!</v>
      </c>
      <c r="B114" s="15" t="e">
        <f>'18年合同登记表'!#REF!</f>
        <v>#REF!</v>
      </c>
      <c r="C114" s="281" t="e">
        <f>'18年合同登记表'!#REF!</f>
        <v>#REF!</v>
      </c>
      <c r="D114" s="281" t="e">
        <f>'18年合同登记表'!#REF!</f>
        <v>#REF!</v>
      </c>
      <c r="E114" s="282"/>
      <c r="F114" s="3"/>
      <c r="G114" s="3"/>
      <c r="H114" s="3"/>
      <c r="I114" s="3"/>
      <c r="J114" s="3"/>
      <c r="K114" s="15" t="e">
        <f t="shared" ref="K114:K121" si="599">D114-E114-F114-G114-H114-I114-J114</f>
        <v>#REF!</v>
      </c>
      <c r="L114" s="289" t="e">
        <f t="shared" si="380"/>
        <v>#REF!</v>
      </c>
      <c r="M114" s="282"/>
      <c r="N114" s="3"/>
      <c r="O114" s="3"/>
      <c r="P114" s="3"/>
      <c r="Q114" s="3"/>
      <c r="R114" s="3"/>
      <c r="S114" s="3"/>
      <c r="T114" s="3"/>
      <c r="U114" s="3">
        <v>0</v>
      </c>
      <c r="V114" s="3">
        <f>'18年合同登记表'!Q141</f>
        <v>26298.6</v>
      </c>
      <c r="W114" s="297">
        <f>'18年合同登记表'!R141</f>
        <v>1</v>
      </c>
      <c r="X114" s="15" t="e">
        <f t="shared" ref="X114:X123" si="600">D114-M114-N114-O114-P114-Q114-R114-U114</f>
        <v>#REF!</v>
      </c>
      <c r="Y114" s="289" t="e">
        <f t="shared" si="382"/>
        <v>#REF!</v>
      </c>
      <c r="Z114" s="280" t="e">
        <f t="shared" si="383"/>
        <v>#REF!</v>
      </c>
      <c r="AA114" s="15" t="e">
        <f t="shared" si="384"/>
        <v>#REF!</v>
      </c>
      <c r="AB114" s="15" t="e">
        <f t="shared" si="385"/>
        <v>#REF!</v>
      </c>
      <c r="AC114" s="15" t="e">
        <f t="shared" si="386"/>
        <v>#REF!</v>
      </c>
      <c r="AD114" s="15" t="e">
        <f t="shared" si="387"/>
        <v>#REF!</v>
      </c>
      <c r="AE114" s="15" t="e">
        <f t="shared" si="388"/>
        <v>#REF!</v>
      </c>
      <c r="AF114" s="281" t="e">
        <f t="shared" si="389"/>
        <v>#REF!</v>
      </c>
      <c r="AG114" s="280" t="e">
        <f t="shared" si="390"/>
        <v>#REF!</v>
      </c>
      <c r="AH114" s="15" t="e">
        <f t="shared" si="391"/>
        <v>#REF!</v>
      </c>
      <c r="AI114" s="15" t="e">
        <f t="shared" si="392"/>
        <v>#REF!</v>
      </c>
      <c r="AJ114" s="15" t="e">
        <f t="shared" si="393"/>
        <v>#REF!</v>
      </c>
      <c r="AK114" s="49"/>
      <c r="AL114" s="15" t="e">
        <f t="shared" si="394"/>
        <v>#REF!</v>
      </c>
      <c r="AM114" s="49"/>
      <c r="AN114" s="15" t="e">
        <f t="shared" si="395"/>
        <v>#REF!</v>
      </c>
      <c r="AO114" s="49"/>
      <c r="AP114" s="15" t="e">
        <f t="shared" si="396"/>
        <v>#REF!</v>
      </c>
      <c r="AQ114" s="316"/>
    </row>
    <row r="115" spans="1:43">
      <c r="A115" s="280" t="str">
        <f>'18年合同登记表'!F142</f>
        <v>豪庭酒店</v>
      </c>
      <c r="B115" s="15" t="str">
        <f>'18年合同登记表'!I142</f>
        <v>直燃机年度维保</v>
      </c>
      <c r="C115" s="281" t="str">
        <f>'18年合同登记表'!L142</f>
        <v>陈勇</v>
      </c>
      <c r="D115" s="281">
        <f>'18年合同登记表'!M142</f>
        <v>26000</v>
      </c>
      <c r="E115" s="282"/>
      <c r="F115" s="3"/>
      <c r="G115" s="3"/>
      <c r="H115" s="3"/>
      <c r="I115" s="3"/>
      <c r="J115" s="3"/>
      <c r="K115" s="15">
        <f t="shared" si="599"/>
        <v>26000</v>
      </c>
      <c r="L115" s="289">
        <f t="shared" si="380"/>
        <v>1</v>
      </c>
      <c r="M115" s="282"/>
      <c r="N115" s="3"/>
      <c r="O115" s="3"/>
      <c r="P115" s="3"/>
      <c r="Q115" s="3"/>
      <c r="R115" s="3"/>
      <c r="S115" s="3"/>
      <c r="T115" s="3"/>
      <c r="U115" s="3">
        <v>0</v>
      </c>
      <c r="V115" s="3">
        <f>'18年合同登记表'!Q142</f>
        <v>26000</v>
      </c>
      <c r="W115" s="297">
        <f>'18年合同登记表'!R142</f>
        <v>1</v>
      </c>
      <c r="X115" s="15">
        <f t="shared" si="600"/>
        <v>26000</v>
      </c>
      <c r="Y115" s="289">
        <f t="shared" si="382"/>
        <v>1</v>
      </c>
      <c r="Z115" s="280">
        <f t="shared" si="383"/>
        <v>22100</v>
      </c>
      <c r="AA115" s="15">
        <f t="shared" si="384"/>
        <v>3900</v>
      </c>
      <c r="AB115" s="15">
        <f t="shared" si="385"/>
        <v>780</v>
      </c>
      <c r="AC115" s="15">
        <f t="shared" si="386"/>
        <v>2652</v>
      </c>
      <c r="AD115" s="15">
        <f t="shared" si="387"/>
        <v>249.6</v>
      </c>
      <c r="AE115" s="15">
        <f t="shared" si="388"/>
        <v>156</v>
      </c>
      <c r="AF115" s="281">
        <f t="shared" si="389"/>
        <v>62.4</v>
      </c>
      <c r="AG115" s="280">
        <f t="shared" si="390"/>
        <v>22100</v>
      </c>
      <c r="AH115" s="15">
        <f t="shared" si="391"/>
        <v>3900</v>
      </c>
      <c r="AI115" s="15">
        <f t="shared" si="392"/>
        <v>780</v>
      </c>
      <c r="AJ115" s="15">
        <f t="shared" si="393"/>
        <v>2652</v>
      </c>
      <c r="AK115" s="49"/>
      <c r="AL115" s="15">
        <f t="shared" si="394"/>
        <v>249.6</v>
      </c>
      <c r="AM115" s="49"/>
      <c r="AN115" s="15">
        <f t="shared" si="395"/>
        <v>156</v>
      </c>
      <c r="AO115" s="49"/>
      <c r="AP115" s="15">
        <f t="shared" si="396"/>
        <v>62.4</v>
      </c>
      <c r="AQ115" s="316"/>
    </row>
    <row r="116" spans="1:43">
      <c r="A116" s="280" t="str">
        <f>'18年合同登记表'!F143</f>
        <v>艾福亿维</v>
      </c>
      <c r="B116" s="15" t="str">
        <f>'18年合同登记表'!I143</f>
        <v>空压机维保合同</v>
      </c>
      <c r="C116" s="281" t="str">
        <f>'18年合同登记表'!L143</f>
        <v>陈勇</v>
      </c>
      <c r="D116" s="281">
        <f>'18年合同登记表'!M143</f>
        <v>12000</v>
      </c>
      <c r="E116" s="282"/>
      <c r="F116" s="3"/>
      <c r="G116" s="3"/>
      <c r="H116" s="3"/>
      <c r="I116" s="3"/>
      <c r="J116" s="3"/>
      <c r="K116" s="15">
        <f t="shared" si="599"/>
        <v>12000</v>
      </c>
      <c r="L116" s="289">
        <f t="shared" si="380"/>
        <v>1</v>
      </c>
      <c r="M116" s="282"/>
      <c r="N116" s="3"/>
      <c r="O116" s="3"/>
      <c r="P116" s="3"/>
      <c r="Q116" s="3"/>
      <c r="R116" s="3"/>
      <c r="S116" s="3"/>
      <c r="T116" s="3"/>
      <c r="U116" s="3">
        <v>0</v>
      </c>
      <c r="V116" s="3">
        <f>'18年合同登记表'!Q143</f>
        <v>12000</v>
      </c>
      <c r="W116" s="297">
        <f>'18年合同登记表'!R143</f>
        <v>1</v>
      </c>
      <c r="X116" s="15">
        <f t="shared" si="600"/>
        <v>12000</v>
      </c>
      <c r="Y116" s="289">
        <f t="shared" si="382"/>
        <v>1</v>
      </c>
      <c r="Z116" s="280">
        <f t="shared" si="383"/>
        <v>10200</v>
      </c>
      <c r="AA116" s="15">
        <f t="shared" si="384"/>
        <v>1800</v>
      </c>
      <c r="AB116" s="15">
        <f t="shared" si="385"/>
        <v>360</v>
      </c>
      <c r="AC116" s="15">
        <f t="shared" si="386"/>
        <v>1224</v>
      </c>
      <c r="AD116" s="15">
        <f t="shared" si="387"/>
        <v>115.2</v>
      </c>
      <c r="AE116" s="15">
        <f t="shared" si="388"/>
        <v>72</v>
      </c>
      <c r="AF116" s="281">
        <f t="shared" si="389"/>
        <v>28.8</v>
      </c>
      <c r="AG116" s="280">
        <f t="shared" si="390"/>
        <v>10200</v>
      </c>
      <c r="AH116" s="15">
        <f t="shared" si="391"/>
        <v>1800</v>
      </c>
      <c r="AI116" s="15">
        <f t="shared" si="392"/>
        <v>360</v>
      </c>
      <c r="AJ116" s="15">
        <f t="shared" si="393"/>
        <v>1224</v>
      </c>
      <c r="AK116" s="49"/>
      <c r="AL116" s="15">
        <f t="shared" si="394"/>
        <v>115.2</v>
      </c>
      <c r="AM116" s="49"/>
      <c r="AN116" s="15">
        <f t="shared" si="395"/>
        <v>72</v>
      </c>
      <c r="AO116" s="49"/>
      <c r="AP116" s="15">
        <f t="shared" si="396"/>
        <v>28.8</v>
      </c>
      <c r="AQ116" s="316"/>
    </row>
    <row r="117" spans="1:43">
      <c r="A117" s="280" t="str">
        <f>'18年合同登记表'!F144</f>
        <v>艾福亿维</v>
      </c>
      <c r="B117" s="15" t="str">
        <f>'18年合同登记表'!I144</f>
        <v>冷却塔维保</v>
      </c>
      <c r="C117" s="281" t="str">
        <f>'18年合同登记表'!L144</f>
        <v>陈勇</v>
      </c>
      <c r="D117" s="281">
        <f>'18年合同登记表'!M144</f>
        <v>11000</v>
      </c>
      <c r="E117" s="282"/>
      <c r="F117" s="3"/>
      <c r="G117" s="3"/>
      <c r="H117" s="3"/>
      <c r="I117" s="3"/>
      <c r="J117" s="3"/>
      <c r="K117" s="15">
        <f t="shared" si="599"/>
        <v>11000</v>
      </c>
      <c r="L117" s="289">
        <f t="shared" si="380"/>
        <v>1</v>
      </c>
      <c r="M117" s="282"/>
      <c r="N117" s="3"/>
      <c r="O117" s="3"/>
      <c r="P117" s="3"/>
      <c r="Q117" s="3"/>
      <c r="R117" s="3"/>
      <c r="S117" s="3"/>
      <c r="T117" s="3"/>
      <c r="U117" s="3">
        <v>0</v>
      </c>
      <c r="V117" s="3">
        <f>'18年合同登记表'!Q144</f>
        <v>11000</v>
      </c>
      <c r="W117" s="297">
        <f>'18年合同登记表'!R144</f>
        <v>1</v>
      </c>
      <c r="X117" s="15">
        <f t="shared" si="600"/>
        <v>11000</v>
      </c>
      <c r="Y117" s="289">
        <f t="shared" si="382"/>
        <v>1</v>
      </c>
      <c r="Z117" s="280">
        <f t="shared" si="383"/>
        <v>9350</v>
      </c>
      <c r="AA117" s="15">
        <f t="shared" si="384"/>
        <v>1650</v>
      </c>
      <c r="AB117" s="15">
        <f t="shared" si="385"/>
        <v>330</v>
      </c>
      <c r="AC117" s="15">
        <f t="shared" si="386"/>
        <v>1122</v>
      </c>
      <c r="AD117" s="15">
        <f t="shared" si="387"/>
        <v>105.6</v>
      </c>
      <c r="AE117" s="15">
        <f t="shared" si="388"/>
        <v>66</v>
      </c>
      <c r="AF117" s="281">
        <f t="shared" si="389"/>
        <v>26.4</v>
      </c>
      <c r="AG117" s="280">
        <f t="shared" si="390"/>
        <v>9350</v>
      </c>
      <c r="AH117" s="15">
        <f t="shared" si="391"/>
        <v>1650</v>
      </c>
      <c r="AI117" s="15">
        <f t="shared" si="392"/>
        <v>330</v>
      </c>
      <c r="AJ117" s="15">
        <f t="shared" si="393"/>
        <v>1122</v>
      </c>
      <c r="AK117" s="49"/>
      <c r="AL117" s="15">
        <f t="shared" si="394"/>
        <v>105.6</v>
      </c>
      <c r="AM117" s="49"/>
      <c r="AN117" s="15">
        <f t="shared" si="395"/>
        <v>66</v>
      </c>
      <c r="AO117" s="49"/>
      <c r="AP117" s="15">
        <f t="shared" si="396"/>
        <v>26.4</v>
      </c>
      <c r="AQ117" s="316"/>
    </row>
    <row r="118" spans="1:43">
      <c r="A118" s="280" t="str">
        <f>'18年合同登记表'!F145</f>
        <v>艾福亿维</v>
      </c>
      <c r="B118" s="15" t="str">
        <f>'18年合同登记表'!I145</f>
        <v>螺杆机维保</v>
      </c>
      <c r="C118" s="281" t="str">
        <f>'18年合同登记表'!L145</f>
        <v>陈勇</v>
      </c>
      <c r="D118" s="281">
        <f>'18年合同登记表'!M145</f>
        <v>39000</v>
      </c>
      <c r="E118" s="282"/>
      <c r="F118" s="3"/>
      <c r="G118" s="3"/>
      <c r="H118" s="3"/>
      <c r="I118" s="3"/>
      <c r="J118" s="3"/>
      <c r="K118" s="15">
        <f t="shared" si="599"/>
        <v>39000</v>
      </c>
      <c r="L118" s="289">
        <f t="shared" si="380"/>
        <v>1</v>
      </c>
      <c r="M118" s="282"/>
      <c r="N118" s="3"/>
      <c r="O118" s="3"/>
      <c r="P118" s="3"/>
      <c r="Q118" s="3"/>
      <c r="R118" s="3"/>
      <c r="S118" s="3"/>
      <c r="T118" s="3"/>
      <c r="U118" s="3">
        <v>0</v>
      </c>
      <c r="V118" s="3">
        <f>'18年合同登记表'!Q145</f>
        <v>39000</v>
      </c>
      <c r="W118" s="297">
        <f>'18年合同登记表'!R145</f>
        <v>1</v>
      </c>
      <c r="X118" s="15">
        <f t="shared" si="600"/>
        <v>39000</v>
      </c>
      <c r="Y118" s="289">
        <f t="shared" si="382"/>
        <v>1</v>
      </c>
      <c r="Z118" s="280">
        <f t="shared" si="383"/>
        <v>33150</v>
      </c>
      <c r="AA118" s="15">
        <f t="shared" si="384"/>
        <v>5850</v>
      </c>
      <c r="AB118" s="15">
        <f t="shared" si="385"/>
        <v>1170</v>
      </c>
      <c r="AC118" s="15">
        <f t="shared" si="386"/>
        <v>3978</v>
      </c>
      <c r="AD118" s="15">
        <f t="shared" si="387"/>
        <v>374.4</v>
      </c>
      <c r="AE118" s="15">
        <f t="shared" si="388"/>
        <v>234</v>
      </c>
      <c r="AF118" s="281">
        <f t="shared" si="389"/>
        <v>93.6</v>
      </c>
      <c r="AG118" s="280">
        <f t="shared" si="390"/>
        <v>33150</v>
      </c>
      <c r="AH118" s="15">
        <f t="shared" si="391"/>
        <v>5850</v>
      </c>
      <c r="AI118" s="15">
        <f t="shared" si="392"/>
        <v>1170</v>
      </c>
      <c r="AJ118" s="15">
        <f t="shared" si="393"/>
        <v>3978</v>
      </c>
      <c r="AK118" s="49"/>
      <c r="AL118" s="15">
        <f t="shared" si="394"/>
        <v>374.4</v>
      </c>
      <c r="AM118" s="49"/>
      <c r="AN118" s="15">
        <f t="shared" si="395"/>
        <v>234</v>
      </c>
      <c r="AO118" s="49"/>
      <c r="AP118" s="15">
        <f t="shared" si="396"/>
        <v>93.6</v>
      </c>
      <c r="AQ118" s="316"/>
    </row>
    <row r="119" spans="1:43">
      <c r="A119" s="280" t="str">
        <f>'18年合同登记表'!F146</f>
        <v>古文化广场</v>
      </c>
      <c r="B119" s="15" t="str">
        <f>'18年合同登记表'!I146</f>
        <v>空调管道改造合同</v>
      </c>
      <c r="C119" s="281" t="str">
        <f>'18年合同登记表'!L146</f>
        <v>王东东</v>
      </c>
      <c r="D119" s="281">
        <f>'18年合同登记表'!M146</f>
        <v>40000</v>
      </c>
      <c r="E119" s="282"/>
      <c r="F119" s="3"/>
      <c r="G119" s="3"/>
      <c r="H119" s="3"/>
      <c r="I119" s="3"/>
      <c r="J119" s="3"/>
      <c r="K119" s="15">
        <f t="shared" si="599"/>
        <v>40000</v>
      </c>
      <c r="L119" s="289">
        <f t="shared" si="380"/>
        <v>1</v>
      </c>
      <c r="M119" s="282"/>
      <c r="N119" s="3"/>
      <c r="O119" s="3"/>
      <c r="P119" s="3"/>
      <c r="Q119" s="3"/>
      <c r="R119" s="3"/>
      <c r="S119" s="3"/>
      <c r="T119" s="3"/>
      <c r="U119" s="3">
        <v>0</v>
      </c>
      <c r="V119" s="3">
        <f>'18年合同登记表'!Q146</f>
        <v>40000</v>
      </c>
      <c r="W119" s="297">
        <f>'18年合同登记表'!R146</f>
        <v>1</v>
      </c>
      <c r="X119" s="15">
        <f t="shared" si="600"/>
        <v>40000</v>
      </c>
      <c r="Y119" s="289">
        <f t="shared" si="382"/>
        <v>1</v>
      </c>
      <c r="Z119" s="280">
        <f t="shared" si="383"/>
        <v>34000</v>
      </c>
      <c r="AA119" s="15">
        <f t="shared" si="384"/>
        <v>6000</v>
      </c>
      <c r="AB119" s="15">
        <f t="shared" si="385"/>
        <v>1200</v>
      </c>
      <c r="AC119" s="15">
        <f t="shared" si="386"/>
        <v>4080</v>
      </c>
      <c r="AD119" s="15">
        <f t="shared" si="387"/>
        <v>384</v>
      </c>
      <c r="AE119" s="15">
        <f t="shared" si="388"/>
        <v>240</v>
      </c>
      <c r="AF119" s="281">
        <f t="shared" si="389"/>
        <v>96</v>
      </c>
      <c r="AG119" s="280">
        <f t="shared" si="390"/>
        <v>34000</v>
      </c>
      <c r="AH119" s="15">
        <f t="shared" si="391"/>
        <v>6000</v>
      </c>
      <c r="AI119" s="15">
        <f t="shared" si="392"/>
        <v>1200</v>
      </c>
      <c r="AJ119" s="15">
        <f t="shared" si="393"/>
        <v>4080</v>
      </c>
      <c r="AK119" s="49"/>
      <c r="AL119" s="15">
        <f t="shared" si="394"/>
        <v>384</v>
      </c>
      <c r="AM119" s="49"/>
      <c r="AN119" s="15">
        <f t="shared" si="395"/>
        <v>240</v>
      </c>
      <c r="AO119" s="49"/>
      <c r="AP119" s="15">
        <f t="shared" si="396"/>
        <v>96</v>
      </c>
      <c r="AQ119" s="316"/>
    </row>
    <row r="120" spans="1:43">
      <c r="A120" s="280" t="str">
        <f>'18年合同登记表'!F149</f>
        <v>聚富宫</v>
      </c>
      <c r="B120" s="15" t="str">
        <f>'18年合同登记表'!I149</f>
        <v>更换溶液泵</v>
      </c>
      <c r="C120" s="281" t="str">
        <f>'18年合同登记表'!L149</f>
        <v>陈勇</v>
      </c>
      <c r="D120" s="281">
        <f>'18年合同登记表'!M149</f>
        <v>12000</v>
      </c>
      <c r="E120" s="282"/>
      <c r="F120" s="3"/>
      <c r="G120" s="3"/>
      <c r="H120" s="3"/>
      <c r="I120" s="3"/>
      <c r="J120" s="3"/>
      <c r="K120" s="15">
        <f t="shared" si="599"/>
        <v>12000</v>
      </c>
      <c r="L120" s="289">
        <f t="shared" si="380"/>
        <v>1</v>
      </c>
      <c r="M120" s="282"/>
      <c r="N120" s="3"/>
      <c r="O120" s="3"/>
      <c r="P120" s="3"/>
      <c r="Q120" s="3"/>
      <c r="R120" s="3"/>
      <c r="S120" s="3"/>
      <c r="T120" s="3"/>
      <c r="U120" s="3">
        <v>0</v>
      </c>
      <c r="V120" s="3">
        <f>'18年合同登记表'!Q149</f>
        <v>12000</v>
      </c>
      <c r="W120" s="297">
        <f>'18年合同登记表'!R149</f>
        <v>1</v>
      </c>
      <c r="X120" s="15">
        <f t="shared" si="600"/>
        <v>12000</v>
      </c>
      <c r="Y120" s="289">
        <f t="shared" si="382"/>
        <v>1</v>
      </c>
      <c r="Z120" s="280">
        <f t="shared" si="383"/>
        <v>10200</v>
      </c>
      <c r="AA120" s="15">
        <f t="shared" si="384"/>
        <v>1800</v>
      </c>
      <c r="AB120" s="15">
        <f t="shared" si="385"/>
        <v>360</v>
      </c>
      <c r="AC120" s="15">
        <f t="shared" si="386"/>
        <v>1224</v>
      </c>
      <c r="AD120" s="15">
        <f t="shared" si="387"/>
        <v>115.2</v>
      </c>
      <c r="AE120" s="15">
        <f t="shared" si="388"/>
        <v>72</v>
      </c>
      <c r="AF120" s="281">
        <f t="shared" si="389"/>
        <v>28.8</v>
      </c>
      <c r="AG120" s="280">
        <f t="shared" si="390"/>
        <v>10200</v>
      </c>
      <c r="AH120" s="15">
        <f t="shared" si="391"/>
        <v>1800</v>
      </c>
      <c r="AI120" s="15">
        <f t="shared" si="392"/>
        <v>360</v>
      </c>
      <c r="AJ120" s="15">
        <f t="shared" si="393"/>
        <v>1224</v>
      </c>
      <c r="AK120" s="49"/>
      <c r="AL120" s="15">
        <f t="shared" si="394"/>
        <v>115.2</v>
      </c>
      <c r="AM120" s="49"/>
      <c r="AN120" s="15">
        <f t="shared" si="395"/>
        <v>72</v>
      </c>
      <c r="AO120" s="49"/>
      <c r="AP120" s="15">
        <f t="shared" si="396"/>
        <v>28.8</v>
      </c>
      <c r="AQ120" s="316"/>
    </row>
    <row r="121" spans="1:43">
      <c r="A121" s="280" t="e">
        <f>'18年合同登记表'!#REF!</f>
        <v>#REF!</v>
      </c>
      <c r="B121" s="15" t="e">
        <f>'18年合同登记表'!#REF!</f>
        <v>#REF!</v>
      </c>
      <c r="C121" s="281" t="e">
        <f>'18年合同登记表'!#REF!</f>
        <v>#REF!</v>
      </c>
      <c r="D121" s="281" t="e">
        <f>'18年合同登记表'!#REF!</f>
        <v>#REF!</v>
      </c>
      <c r="E121" s="282"/>
      <c r="F121" s="3"/>
      <c r="G121" s="3"/>
      <c r="H121" s="3"/>
      <c r="I121" s="3"/>
      <c r="J121" s="3"/>
      <c r="K121" s="15" t="e">
        <f t="shared" si="599"/>
        <v>#REF!</v>
      </c>
      <c r="L121" s="289" t="e">
        <f t="shared" si="380"/>
        <v>#REF!</v>
      </c>
      <c r="M121" s="282"/>
      <c r="N121" s="3"/>
      <c r="O121" s="3"/>
      <c r="P121" s="3"/>
      <c r="Q121" s="3"/>
      <c r="R121" s="3"/>
      <c r="S121" s="3"/>
      <c r="T121" s="3"/>
      <c r="U121" s="3">
        <v>0</v>
      </c>
      <c r="V121" s="3" t="e">
        <f>'18年合同登记表'!#REF!</f>
        <v>#REF!</v>
      </c>
      <c r="W121" s="297" t="e">
        <f>'18年合同登记表'!#REF!</f>
        <v>#REF!</v>
      </c>
      <c r="X121" s="15" t="e">
        <f t="shared" si="600"/>
        <v>#REF!</v>
      </c>
      <c r="Y121" s="289" t="e">
        <f t="shared" si="382"/>
        <v>#REF!</v>
      </c>
      <c r="Z121" s="280" t="e">
        <f t="shared" si="383"/>
        <v>#REF!</v>
      </c>
      <c r="AA121" s="15" t="e">
        <f t="shared" si="384"/>
        <v>#REF!</v>
      </c>
      <c r="AB121" s="15" t="e">
        <f t="shared" si="385"/>
        <v>#REF!</v>
      </c>
      <c r="AC121" s="15" t="e">
        <f t="shared" si="386"/>
        <v>#REF!</v>
      </c>
      <c r="AD121" s="15" t="e">
        <f t="shared" si="387"/>
        <v>#REF!</v>
      </c>
      <c r="AE121" s="15" t="e">
        <f t="shared" si="388"/>
        <v>#REF!</v>
      </c>
      <c r="AF121" s="281" t="e">
        <f t="shared" si="389"/>
        <v>#REF!</v>
      </c>
      <c r="AG121" s="280" t="e">
        <f t="shared" si="390"/>
        <v>#REF!</v>
      </c>
      <c r="AH121" s="15" t="e">
        <f t="shared" si="391"/>
        <v>#REF!</v>
      </c>
      <c r="AI121" s="15" t="e">
        <f t="shared" si="392"/>
        <v>#REF!</v>
      </c>
      <c r="AJ121" s="15" t="e">
        <f t="shared" si="393"/>
        <v>#REF!</v>
      </c>
      <c r="AK121" s="49"/>
      <c r="AL121" s="15" t="e">
        <f t="shared" si="394"/>
        <v>#REF!</v>
      </c>
      <c r="AM121" s="49"/>
      <c r="AN121" s="15" t="e">
        <f t="shared" si="395"/>
        <v>#REF!</v>
      </c>
      <c r="AO121" s="49"/>
      <c r="AP121" s="15" t="e">
        <f t="shared" si="396"/>
        <v>#REF!</v>
      </c>
      <c r="AQ121" s="316"/>
    </row>
    <row r="122" spans="1:43">
      <c r="A122" s="285" t="s">
        <v>51</v>
      </c>
      <c r="B122" s="13"/>
      <c r="C122" s="286"/>
      <c r="D122" s="286">
        <f>'18年合同登记表'!M153</f>
        <v>200727.6</v>
      </c>
      <c r="E122" s="13">
        <f t="shared" ref="E122" si="601">SUM(E114:E121)</f>
        <v>0</v>
      </c>
      <c r="F122" s="13">
        <f t="shared" ref="F122" si="602">SUM(F114:F121)</f>
        <v>0</v>
      </c>
      <c r="G122" s="13">
        <f t="shared" ref="G122" si="603">SUM(G114:G121)</f>
        <v>0</v>
      </c>
      <c r="H122" s="13">
        <f t="shared" ref="H122" si="604">SUM(H114:H121)</f>
        <v>0</v>
      </c>
      <c r="I122" s="13">
        <f t="shared" ref="I122" si="605">SUM(I114:I121)</f>
        <v>0</v>
      </c>
      <c r="J122" s="13">
        <f t="shared" ref="J122:K122" si="606">SUM(J114:J121)</f>
        <v>0</v>
      </c>
      <c r="K122" s="13" t="e">
        <f t="shared" si="606"/>
        <v>#REF!</v>
      </c>
      <c r="L122" s="290" t="e">
        <f t="shared" si="380"/>
        <v>#REF!</v>
      </c>
      <c r="M122" s="13">
        <f t="shared" ref="M122" si="607">SUM(M114:M121)</f>
        <v>0</v>
      </c>
      <c r="N122" s="13">
        <f t="shared" ref="N122" si="608">SUM(N114:N121)</f>
        <v>0</v>
      </c>
      <c r="O122" s="13">
        <f t="shared" ref="O122" si="609">SUM(O114:O121)</f>
        <v>0</v>
      </c>
      <c r="P122" s="13">
        <f t="shared" ref="P122" si="610">SUM(P114:P121)</f>
        <v>0</v>
      </c>
      <c r="Q122" s="13">
        <f t="shared" ref="Q122" si="611">SUM(Q114:Q121)</f>
        <v>0</v>
      </c>
      <c r="R122" s="13">
        <f t="shared" ref="R122" si="612">SUM(R114:R121)</f>
        <v>0</v>
      </c>
      <c r="S122" s="13">
        <f t="shared" ref="S122" si="613">SUM(S114:S121)</f>
        <v>0</v>
      </c>
      <c r="T122" s="13">
        <f t="shared" ref="T122" si="614">SUM(T114:T121)</f>
        <v>0</v>
      </c>
      <c r="U122" s="13">
        <f t="shared" ref="U122:V122" si="615">SUM(U114:U121)</f>
        <v>0</v>
      </c>
      <c r="V122" s="13" t="e">
        <f t="shared" si="615"/>
        <v>#REF!</v>
      </c>
      <c r="W122" s="298">
        <f>'18年合同登记表'!R153</f>
        <v>1</v>
      </c>
      <c r="X122" s="13" t="e">
        <f>SUM(X114:X121)</f>
        <v>#REF!</v>
      </c>
      <c r="Y122" s="290" t="e">
        <f t="shared" si="382"/>
        <v>#REF!</v>
      </c>
      <c r="Z122" s="13" t="e">
        <f t="shared" ref="Z122" si="616">SUM(Z114:Z121)</f>
        <v>#REF!</v>
      </c>
      <c r="AA122" s="13" t="e">
        <f t="shared" ref="AA122" si="617">SUM(AA114:AA121)</f>
        <v>#REF!</v>
      </c>
      <c r="AB122" s="13" t="e">
        <f t="shared" ref="AB122" si="618">SUM(AB114:AB121)</f>
        <v>#REF!</v>
      </c>
      <c r="AC122" s="13" t="e">
        <f t="shared" ref="AC122" si="619">SUM(AC114:AC121)</f>
        <v>#REF!</v>
      </c>
      <c r="AD122" s="13" t="e">
        <f t="shared" ref="AD122" si="620">SUM(AD114:AD121)</f>
        <v>#REF!</v>
      </c>
      <c r="AE122" s="13" t="e">
        <f t="shared" ref="AE122" si="621">SUM(AE114:AE121)</f>
        <v>#REF!</v>
      </c>
      <c r="AF122" s="13" t="e">
        <f t="shared" ref="AF122" si="622">SUM(AF114:AF121)</f>
        <v>#REF!</v>
      </c>
      <c r="AG122" s="13" t="e">
        <f t="shared" ref="AG122" si="623">SUM(AG114:AG121)</f>
        <v>#REF!</v>
      </c>
      <c r="AH122" s="13" t="e">
        <f t="shared" ref="AH122" si="624">SUM(AH114:AH121)</f>
        <v>#REF!</v>
      </c>
      <c r="AI122" s="13" t="e">
        <f t="shared" ref="AI122" si="625">SUM(AI114:AI121)</f>
        <v>#REF!</v>
      </c>
      <c r="AJ122" s="13" t="e">
        <f t="shared" ref="AJ122" si="626">SUM(AJ114:AJ121)</f>
        <v>#REF!</v>
      </c>
      <c r="AK122" s="13">
        <f t="shared" ref="AK122" si="627">SUM(AK114:AK121)</f>
        <v>0</v>
      </c>
      <c r="AL122" s="13" t="e">
        <f t="shared" ref="AL122" si="628">SUM(AL114:AL121)</f>
        <v>#REF!</v>
      </c>
      <c r="AM122" s="13">
        <f t="shared" ref="AM122" si="629">SUM(AM114:AM121)</f>
        <v>0</v>
      </c>
      <c r="AN122" s="13" t="e">
        <f t="shared" ref="AN122" si="630">SUM(AN114:AN121)</f>
        <v>#REF!</v>
      </c>
      <c r="AO122" s="13">
        <f t="shared" ref="AO122" si="631">SUM(AO114:AO121)</f>
        <v>0</v>
      </c>
      <c r="AP122" s="13" t="e">
        <f t="shared" ref="AP122" si="632">SUM(AP114:AP121)</f>
        <v>#REF!</v>
      </c>
      <c r="AQ122" s="13">
        <f t="shared" ref="AQ122" si="633">SUM(AQ114:AQ121)</f>
        <v>0</v>
      </c>
    </row>
    <row r="123" spans="1:43">
      <c r="A123" s="285" t="s">
        <v>52</v>
      </c>
      <c r="B123" s="13"/>
      <c r="C123" s="286"/>
      <c r="D123" s="286">
        <f>'18年合同登记表'!M154</f>
        <v>17714434.57</v>
      </c>
      <c r="E123" s="13">
        <f t="shared" ref="E123" si="634">E113+E122</f>
        <v>97470</v>
      </c>
      <c r="F123" s="13">
        <f t="shared" ref="F123" si="635">F113+F122</f>
        <v>509816</v>
      </c>
      <c r="G123" s="13">
        <f t="shared" ref="G123" si="636">G113+G122</f>
        <v>130076.3</v>
      </c>
      <c r="H123" s="13">
        <f t="shared" ref="H123" si="637">H113+H122</f>
        <v>134561</v>
      </c>
      <c r="I123" s="13">
        <f t="shared" ref="I123" si="638">I113+I122</f>
        <v>66251</v>
      </c>
      <c r="J123" s="13">
        <f t="shared" ref="J123:K123" si="639">J113+J122</f>
        <v>13577</v>
      </c>
      <c r="K123" s="13" t="e">
        <f t="shared" si="639"/>
        <v>#REF!</v>
      </c>
      <c r="L123" s="290" t="e">
        <f t="shared" si="380"/>
        <v>#REF!</v>
      </c>
      <c r="M123" s="13">
        <f t="shared" ref="M123" si="640">M113+M122</f>
        <v>330</v>
      </c>
      <c r="N123" s="13">
        <f t="shared" ref="N123" si="641">N113+N122</f>
        <v>5495</v>
      </c>
      <c r="O123" s="13">
        <f t="shared" ref="O123" si="642">O113+O122</f>
        <v>2620.2</v>
      </c>
      <c r="P123" s="13">
        <f t="shared" ref="P123" si="643">P113+P122</f>
        <v>5000</v>
      </c>
      <c r="Q123" s="13">
        <f t="shared" ref="Q123" si="644">Q113+Q122</f>
        <v>1650</v>
      </c>
      <c r="R123" s="13">
        <f t="shared" ref="R123" si="645">R113+R122</f>
        <v>330</v>
      </c>
      <c r="S123" s="13">
        <f t="shared" ref="S123" si="646">S113+S122</f>
        <v>0</v>
      </c>
      <c r="T123" s="13">
        <f t="shared" ref="T123" si="647">T113+T122</f>
        <v>0</v>
      </c>
      <c r="U123" s="13">
        <f t="shared" ref="U123:V123" si="648">U113+U122</f>
        <v>0</v>
      </c>
      <c r="V123" s="13" t="e">
        <f t="shared" si="648"/>
        <v>#REF!</v>
      </c>
      <c r="W123" s="298">
        <f>'18年合同登记表'!R154</f>
        <v>0.395128627580011</v>
      </c>
      <c r="X123" s="13" t="e">
        <f>X113+X122</f>
        <v>#REF!</v>
      </c>
      <c r="Y123" s="290" t="e">
        <f t="shared" si="382"/>
        <v>#REF!</v>
      </c>
      <c r="Z123" s="13" t="e">
        <f t="shared" ref="Z123" si="649">Z113+Z122</f>
        <v>#REF!</v>
      </c>
      <c r="AA123" s="13" t="e">
        <f t="shared" ref="AA123" si="650">AA113+AA122</f>
        <v>#REF!</v>
      </c>
      <c r="AB123" s="13" t="e">
        <f t="shared" ref="AB123" si="651">AB113+AB122</f>
        <v>#REF!</v>
      </c>
      <c r="AC123" s="13" t="e">
        <f t="shared" ref="AC123" si="652">AC113+AC122</f>
        <v>#REF!</v>
      </c>
      <c r="AD123" s="13" t="e">
        <f t="shared" ref="AD123" si="653">AD113+AD122</f>
        <v>#REF!</v>
      </c>
      <c r="AE123" s="13" t="e">
        <f t="shared" ref="AE123" si="654">AE113+AE122</f>
        <v>#REF!</v>
      </c>
      <c r="AF123" s="13" t="e">
        <f t="shared" ref="AF123" si="655">AF113+AF122</f>
        <v>#REF!</v>
      </c>
      <c r="AG123" s="13" t="e">
        <f t="shared" ref="AG123" si="656">AG113+AG122</f>
        <v>#REF!</v>
      </c>
      <c r="AH123" s="13" t="e">
        <f t="shared" ref="AH123" si="657">AH113+AH122</f>
        <v>#REF!</v>
      </c>
      <c r="AI123" s="13" t="e">
        <f t="shared" ref="AI123" si="658">AI113+AI122</f>
        <v>#REF!</v>
      </c>
      <c r="AJ123" s="13" t="e">
        <f t="shared" ref="AJ123" si="659">AJ113+AJ122</f>
        <v>#REF!</v>
      </c>
      <c r="AK123" s="13">
        <f t="shared" ref="AK123" si="660">AK113+AK122</f>
        <v>0</v>
      </c>
      <c r="AL123" s="13" t="e">
        <f t="shared" ref="AL123" si="661">AL113+AL122</f>
        <v>#REF!</v>
      </c>
      <c r="AM123" s="13">
        <f t="shared" ref="AM123" si="662">AM113+AM122</f>
        <v>0</v>
      </c>
      <c r="AN123" s="13" t="e">
        <f t="shared" ref="AN123" si="663">AN113+AN122</f>
        <v>#REF!</v>
      </c>
      <c r="AO123" s="13">
        <f t="shared" ref="AO123" si="664">AO113+AO122</f>
        <v>0</v>
      </c>
      <c r="AP123" s="13" t="e">
        <f t="shared" ref="AP123" si="665">AP113+AP122</f>
        <v>#REF!</v>
      </c>
      <c r="AQ123" s="13">
        <f t="shared" ref="AQ123" si="666">AQ113+AQ122</f>
        <v>0</v>
      </c>
    </row>
    <row r="124" spans="1:43">
      <c r="A124" s="280" t="str">
        <f>'18年合同登记表'!F155</f>
        <v>西直门华电</v>
      </c>
      <c r="B124" s="15" t="str">
        <f>'18年合同登记表'!I155</f>
        <v>直燃机维保</v>
      </c>
      <c r="C124" s="281" t="str">
        <f>'18年合同登记表'!L155</f>
        <v>陈勇</v>
      </c>
      <c r="D124" s="281">
        <f>'18年合同登记表'!M155</f>
        <v>30000</v>
      </c>
      <c r="E124" s="282"/>
      <c r="F124" s="3"/>
      <c r="G124" s="3"/>
      <c r="H124" s="3"/>
      <c r="I124" s="3"/>
      <c r="J124" s="3"/>
      <c r="K124" s="15">
        <f t="shared" ref="K124:K131" si="667">D124-E124-F124-G124-H124-I124-J124</f>
        <v>30000</v>
      </c>
      <c r="L124" s="289">
        <f t="shared" si="380"/>
        <v>1</v>
      </c>
      <c r="M124" s="282"/>
      <c r="N124" s="3"/>
      <c r="O124" s="3"/>
      <c r="P124" s="3"/>
      <c r="Q124" s="3"/>
      <c r="R124" s="3"/>
      <c r="S124" s="3"/>
      <c r="T124" s="3"/>
      <c r="U124" s="3">
        <v>0</v>
      </c>
      <c r="V124" s="3">
        <f>'18年合同登记表'!Q155</f>
        <v>30000</v>
      </c>
      <c r="W124" s="297">
        <f>'18年合同登记表'!R155</f>
        <v>1</v>
      </c>
      <c r="X124" s="15">
        <f t="shared" ref="X124:X133" si="668">D124-M124-N124-O124-P124-Q124-R124-U124</f>
        <v>30000</v>
      </c>
      <c r="Y124" s="289">
        <f t="shared" si="382"/>
        <v>1</v>
      </c>
      <c r="Z124" s="280">
        <f t="shared" si="383"/>
        <v>25500</v>
      </c>
      <c r="AA124" s="15">
        <f t="shared" si="384"/>
        <v>4500</v>
      </c>
      <c r="AB124" s="15">
        <f t="shared" si="385"/>
        <v>900</v>
      </c>
      <c r="AC124" s="15">
        <f t="shared" si="386"/>
        <v>3060</v>
      </c>
      <c r="AD124" s="15">
        <f t="shared" si="387"/>
        <v>288</v>
      </c>
      <c r="AE124" s="15">
        <f t="shared" si="388"/>
        <v>180</v>
      </c>
      <c r="AF124" s="281">
        <f t="shared" si="389"/>
        <v>72</v>
      </c>
      <c r="AG124" s="280">
        <f t="shared" si="390"/>
        <v>25500</v>
      </c>
      <c r="AH124" s="15">
        <f t="shared" si="391"/>
        <v>4500</v>
      </c>
      <c r="AI124" s="15">
        <f t="shared" si="392"/>
        <v>900</v>
      </c>
      <c r="AJ124" s="15">
        <f t="shared" si="393"/>
        <v>3060</v>
      </c>
      <c r="AK124" s="49"/>
      <c r="AL124" s="15">
        <f t="shared" si="394"/>
        <v>288</v>
      </c>
      <c r="AM124" s="49"/>
      <c r="AN124" s="15">
        <f t="shared" si="395"/>
        <v>180</v>
      </c>
      <c r="AO124" s="49"/>
      <c r="AP124" s="15">
        <f t="shared" si="396"/>
        <v>72</v>
      </c>
      <c r="AQ124" s="316"/>
    </row>
    <row r="125" spans="1:43">
      <c r="A125" s="280" t="str">
        <f>'18年合同登记表'!F156</f>
        <v>星罗城</v>
      </c>
      <c r="B125" s="15" t="str">
        <f>'18年合同登记表'!I156</f>
        <v>直燃机维保</v>
      </c>
      <c r="C125" s="281" t="str">
        <f>'18年合同登记表'!L156</f>
        <v>陈勇</v>
      </c>
      <c r="D125" s="281">
        <f>'18年合同登记表'!M156</f>
        <v>30000</v>
      </c>
      <c r="E125" s="282"/>
      <c r="F125" s="3"/>
      <c r="G125" s="3"/>
      <c r="H125" s="3"/>
      <c r="I125" s="3"/>
      <c r="J125" s="3"/>
      <c r="K125" s="15">
        <f t="shared" si="667"/>
        <v>30000</v>
      </c>
      <c r="L125" s="289">
        <f t="shared" si="380"/>
        <v>1</v>
      </c>
      <c r="M125" s="282"/>
      <c r="N125" s="3"/>
      <c r="O125" s="3"/>
      <c r="P125" s="3"/>
      <c r="Q125" s="3"/>
      <c r="R125" s="3"/>
      <c r="S125" s="3"/>
      <c r="T125" s="3"/>
      <c r="U125" s="3">
        <v>0</v>
      </c>
      <c r="V125" s="3">
        <f>'18年合同登记表'!Q156</f>
        <v>30000</v>
      </c>
      <c r="W125" s="297">
        <f>'18年合同登记表'!R156</f>
        <v>1</v>
      </c>
      <c r="X125" s="15">
        <f t="shared" si="668"/>
        <v>30000</v>
      </c>
      <c r="Y125" s="289">
        <f t="shared" si="382"/>
        <v>1</v>
      </c>
      <c r="Z125" s="280">
        <f t="shared" si="383"/>
        <v>25500</v>
      </c>
      <c r="AA125" s="15">
        <f t="shared" si="384"/>
        <v>4500</v>
      </c>
      <c r="AB125" s="15">
        <f t="shared" si="385"/>
        <v>900</v>
      </c>
      <c r="AC125" s="15">
        <f t="shared" si="386"/>
        <v>3060</v>
      </c>
      <c r="AD125" s="15">
        <f t="shared" si="387"/>
        <v>288</v>
      </c>
      <c r="AE125" s="15">
        <f t="shared" si="388"/>
        <v>180</v>
      </c>
      <c r="AF125" s="281">
        <f t="shared" si="389"/>
        <v>72</v>
      </c>
      <c r="AG125" s="280">
        <f t="shared" si="390"/>
        <v>25500</v>
      </c>
      <c r="AH125" s="15">
        <f t="shared" si="391"/>
        <v>4500</v>
      </c>
      <c r="AI125" s="15">
        <f t="shared" si="392"/>
        <v>900</v>
      </c>
      <c r="AJ125" s="15">
        <f t="shared" si="393"/>
        <v>3060</v>
      </c>
      <c r="AK125" s="49"/>
      <c r="AL125" s="15">
        <f t="shared" si="394"/>
        <v>288</v>
      </c>
      <c r="AM125" s="49"/>
      <c r="AN125" s="15">
        <f t="shared" si="395"/>
        <v>180</v>
      </c>
      <c r="AO125" s="49"/>
      <c r="AP125" s="15">
        <f t="shared" si="396"/>
        <v>72</v>
      </c>
      <c r="AQ125" s="316"/>
    </row>
    <row r="126" spans="1:43">
      <c r="A126" s="280" t="str">
        <f>'18年合同登记表'!F157</f>
        <v>香岩寺</v>
      </c>
      <c r="B126" s="15" t="str">
        <f>'18年合同登记表'!I157</f>
        <v>亚太螺杆机组大修</v>
      </c>
      <c r="C126" s="281" t="str">
        <f>'18年合同登记表'!L157</f>
        <v>卢强</v>
      </c>
      <c r="D126" s="281">
        <f>'18年合同登记表'!M157</f>
        <v>23580</v>
      </c>
      <c r="E126" s="282"/>
      <c r="F126" s="3"/>
      <c r="G126" s="3"/>
      <c r="H126" s="3"/>
      <c r="I126" s="3"/>
      <c r="J126" s="3"/>
      <c r="K126" s="15">
        <f t="shared" si="667"/>
        <v>23580</v>
      </c>
      <c r="L126" s="289">
        <f t="shared" si="380"/>
        <v>1</v>
      </c>
      <c r="M126" s="282"/>
      <c r="N126" s="3"/>
      <c r="O126" s="3"/>
      <c r="P126" s="3"/>
      <c r="Q126" s="3"/>
      <c r="R126" s="3"/>
      <c r="S126" s="3"/>
      <c r="T126" s="3"/>
      <c r="U126" s="3">
        <v>0</v>
      </c>
      <c r="V126" s="3">
        <f>'18年合同登记表'!Q157</f>
        <v>23580</v>
      </c>
      <c r="W126" s="297">
        <f>'18年合同登记表'!R157</f>
        <v>1</v>
      </c>
      <c r="X126" s="15">
        <f t="shared" si="668"/>
        <v>23580</v>
      </c>
      <c r="Y126" s="289">
        <f t="shared" si="382"/>
        <v>1</v>
      </c>
      <c r="Z126" s="280">
        <f t="shared" si="383"/>
        <v>20043</v>
      </c>
      <c r="AA126" s="15">
        <f t="shared" si="384"/>
        <v>3537</v>
      </c>
      <c r="AB126" s="15">
        <f t="shared" si="385"/>
        <v>707.4</v>
      </c>
      <c r="AC126" s="15">
        <f t="shared" si="386"/>
        <v>2405.16</v>
      </c>
      <c r="AD126" s="15">
        <f t="shared" si="387"/>
        <v>226.368</v>
      </c>
      <c r="AE126" s="15">
        <f t="shared" si="388"/>
        <v>141.48</v>
      </c>
      <c r="AF126" s="281">
        <f t="shared" si="389"/>
        <v>56.592</v>
      </c>
      <c r="AG126" s="280">
        <f t="shared" si="390"/>
        <v>20043</v>
      </c>
      <c r="AH126" s="15">
        <f t="shared" si="391"/>
        <v>3537</v>
      </c>
      <c r="AI126" s="15">
        <f t="shared" si="392"/>
        <v>707.4</v>
      </c>
      <c r="AJ126" s="15">
        <f t="shared" si="393"/>
        <v>2405.16</v>
      </c>
      <c r="AK126" s="49"/>
      <c r="AL126" s="15">
        <f t="shared" si="394"/>
        <v>226.368</v>
      </c>
      <c r="AM126" s="49"/>
      <c r="AN126" s="15">
        <f t="shared" si="395"/>
        <v>141.48</v>
      </c>
      <c r="AO126" s="49"/>
      <c r="AP126" s="15">
        <f t="shared" si="396"/>
        <v>56.592</v>
      </c>
      <c r="AQ126" s="316"/>
    </row>
    <row r="127" spans="1:43">
      <c r="A127" s="280" t="str">
        <f>'18年合同登记表'!F158</f>
        <v>中电兴发</v>
      </c>
      <c r="B127" s="15" t="str">
        <f>'18年合同登记表'!I158</f>
        <v>直燃机维保</v>
      </c>
      <c r="C127" s="281" t="str">
        <f>'18年合同登记表'!L158</f>
        <v>陈勇</v>
      </c>
      <c r="D127" s="281">
        <f>'18年合同登记表'!M158</f>
        <v>18200</v>
      </c>
      <c r="E127" s="282"/>
      <c r="F127" s="3"/>
      <c r="G127" s="3"/>
      <c r="H127" s="3"/>
      <c r="I127" s="3"/>
      <c r="J127" s="3"/>
      <c r="K127" s="15">
        <f t="shared" si="667"/>
        <v>18200</v>
      </c>
      <c r="L127" s="289">
        <f t="shared" si="380"/>
        <v>1</v>
      </c>
      <c r="M127" s="282"/>
      <c r="N127" s="3"/>
      <c r="O127" s="3"/>
      <c r="P127" s="3"/>
      <c r="Q127" s="3"/>
      <c r="R127" s="3"/>
      <c r="S127" s="3"/>
      <c r="T127" s="3"/>
      <c r="U127" s="3">
        <v>0</v>
      </c>
      <c r="V127" s="3">
        <f>'18年合同登记表'!Q158</f>
        <v>18200</v>
      </c>
      <c r="W127" s="297">
        <f>'18年合同登记表'!R158</f>
        <v>1</v>
      </c>
      <c r="X127" s="15">
        <f t="shared" si="668"/>
        <v>18200</v>
      </c>
      <c r="Y127" s="289">
        <f t="shared" si="382"/>
        <v>1</v>
      </c>
      <c r="Z127" s="280">
        <f t="shared" si="383"/>
        <v>15470</v>
      </c>
      <c r="AA127" s="15">
        <f t="shared" si="384"/>
        <v>2730</v>
      </c>
      <c r="AB127" s="15">
        <f t="shared" si="385"/>
        <v>546</v>
      </c>
      <c r="AC127" s="15">
        <f t="shared" si="386"/>
        <v>1856.4</v>
      </c>
      <c r="AD127" s="15">
        <f t="shared" si="387"/>
        <v>174.72</v>
      </c>
      <c r="AE127" s="15">
        <f t="shared" si="388"/>
        <v>109.2</v>
      </c>
      <c r="AF127" s="281">
        <f t="shared" si="389"/>
        <v>43.68</v>
      </c>
      <c r="AG127" s="280">
        <f t="shared" si="390"/>
        <v>15470</v>
      </c>
      <c r="AH127" s="15">
        <f t="shared" si="391"/>
        <v>2730</v>
      </c>
      <c r="AI127" s="15">
        <f t="shared" si="392"/>
        <v>546</v>
      </c>
      <c r="AJ127" s="15">
        <f t="shared" si="393"/>
        <v>1856.4</v>
      </c>
      <c r="AK127" s="49"/>
      <c r="AL127" s="15">
        <f t="shared" si="394"/>
        <v>174.72</v>
      </c>
      <c r="AM127" s="49"/>
      <c r="AN127" s="15">
        <f t="shared" si="395"/>
        <v>109.2</v>
      </c>
      <c r="AO127" s="49"/>
      <c r="AP127" s="15">
        <f t="shared" si="396"/>
        <v>43.68</v>
      </c>
      <c r="AQ127" s="316"/>
    </row>
    <row r="128" spans="1:43">
      <c r="A128" s="280" t="e">
        <f>'18年合同登记表'!#REF!</f>
        <v>#REF!</v>
      </c>
      <c r="B128" s="15" t="e">
        <f>'18年合同登记表'!#REF!</f>
        <v>#REF!</v>
      </c>
      <c r="C128" s="281" t="e">
        <f>'18年合同登记表'!#REF!</f>
        <v>#REF!</v>
      </c>
      <c r="D128" s="281" t="e">
        <f>'18年合同登记表'!#REF!</f>
        <v>#REF!</v>
      </c>
      <c r="E128" s="282"/>
      <c r="F128" s="3"/>
      <c r="G128" s="3"/>
      <c r="H128" s="3"/>
      <c r="I128" s="3"/>
      <c r="J128" s="3"/>
      <c r="K128" s="15" t="e">
        <f t="shared" si="667"/>
        <v>#REF!</v>
      </c>
      <c r="L128" s="289" t="e">
        <f t="shared" si="380"/>
        <v>#REF!</v>
      </c>
      <c r="M128" s="282"/>
      <c r="N128" s="3"/>
      <c r="O128" s="3"/>
      <c r="P128" s="3"/>
      <c r="Q128" s="3"/>
      <c r="R128" s="3"/>
      <c r="S128" s="3"/>
      <c r="T128" s="3"/>
      <c r="U128" s="3">
        <v>0</v>
      </c>
      <c r="V128" s="3" t="e">
        <f>'18年合同登记表'!#REF!</f>
        <v>#REF!</v>
      </c>
      <c r="W128" s="297" t="e">
        <f>'18年合同登记表'!#REF!</f>
        <v>#REF!</v>
      </c>
      <c r="X128" s="15" t="e">
        <f t="shared" si="668"/>
        <v>#REF!</v>
      </c>
      <c r="Y128" s="289" t="e">
        <f t="shared" si="382"/>
        <v>#REF!</v>
      </c>
      <c r="Z128" s="280" t="e">
        <f t="shared" si="383"/>
        <v>#REF!</v>
      </c>
      <c r="AA128" s="15" t="e">
        <f t="shared" si="384"/>
        <v>#REF!</v>
      </c>
      <c r="AB128" s="15" t="e">
        <f t="shared" si="385"/>
        <v>#REF!</v>
      </c>
      <c r="AC128" s="15" t="e">
        <f t="shared" si="386"/>
        <v>#REF!</v>
      </c>
      <c r="AD128" s="15" t="e">
        <f t="shared" si="387"/>
        <v>#REF!</v>
      </c>
      <c r="AE128" s="15" t="e">
        <f t="shared" si="388"/>
        <v>#REF!</v>
      </c>
      <c r="AF128" s="281" t="e">
        <f t="shared" si="389"/>
        <v>#REF!</v>
      </c>
      <c r="AG128" s="280" t="e">
        <f t="shared" si="390"/>
        <v>#REF!</v>
      </c>
      <c r="AH128" s="15" t="e">
        <f t="shared" si="391"/>
        <v>#REF!</v>
      </c>
      <c r="AI128" s="15" t="e">
        <f t="shared" si="392"/>
        <v>#REF!</v>
      </c>
      <c r="AJ128" s="15" t="e">
        <f t="shared" si="393"/>
        <v>#REF!</v>
      </c>
      <c r="AK128" s="49"/>
      <c r="AL128" s="15" t="e">
        <f t="shared" si="394"/>
        <v>#REF!</v>
      </c>
      <c r="AM128" s="49"/>
      <c r="AN128" s="15" t="e">
        <f t="shared" si="395"/>
        <v>#REF!</v>
      </c>
      <c r="AO128" s="49"/>
      <c r="AP128" s="15" t="e">
        <f t="shared" si="396"/>
        <v>#REF!</v>
      </c>
      <c r="AQ128" s="316"/>
    </row>
    <row r="129" spans="1:43">
      <c r="A129" s="280" t="str">
        <f>'18年合同登记表'!F159</f>
        <v>海联物业</v>
      </c>
      <c r="B129" s="15" t="str">
        <f>'18年合同登记表'!I159</f>
        <v>直燃机维保，水处理</v>
      </c>
      <c r="C129" s="281" t="str">
        <f>'18年合同登记表'!L159</f>
        <v>陈勇</v>
      </c>
      <c r="D129" s="281">
        <f>'18年合同登记表'!M159</f>
        <v>21200</v>
      </c>
      <c r="E129" s="282"/>
      <c r="F129" s="3"/>
      <c r="G129" s="3"/>
      <c r="H129" s="3"/>
      <c r="I129" s="3"/>
      <c r="J129" s="3"/>
      <c r="K129" s="15">
        <f t="shared" si="667"/>
        <v>21200</v>
      </c>
      <c r="L129" s="289">
        <f t="shared" si="380"/>
        <v>1</v>
      </c>
      <c r="M129" s="282"/>
      <c r="N129" s="3"/>
      <c r="O129" s="3"/>
      <c r="P129" s="3"/>
      <c r="Q129" s="3"/>
      <c r="R129" s="3"/>
      <c r="S129" s="3"/>
      <c r="T129" s="3"/>
      <c r="U129" s="3">
        <v>0</v>
      </c>
      <c r="V129" s="3">
        <f>'18年合同登记表'!Q159</f>
        <v>21200</v>
      </c>
      <c r="W129" s="297">
        <f>'18年合同登记表'!R159</f>
        <v>1</v>
      </c>
      <c r="X129" s="15">
        <f t="shared" si="668"/>
        <v>21200</v>
      </c>
      <c r="Y129" s="289">
        <f t="shared" si="382"/>
        <v>1</v>
      </c>
      <c r="Z129" s="280">
        <f t="shared" si="383"/>
        <v>18020</v>
      </c>
      <c r="AA129" s="15">
        <f t="shared" si="384"/>
        <v>3180</v>
      </c>
      <c r="AB129" s="15">
        <f t="shared" si="385"/>
        <v>636</v>
      </c>
      <c r="AC129" s="15">
        <f t="shared" si="386"/>
        <v>2162.4</v>
      </c>
      <c r="AD129" s="15">
        <f t="shared" si="387"/>
        <v>203.52</v>
      </c>
      <c r="AE129" s="15">
        <f t="shared" si="388"/>
        <v>127.2</v>
      </c>
      <c r="AF129" s="281">
        <f t="shared" si="389"/>
        <v>50.88</v>
      </c>
      <c r="AG129" s="280">
        <f t="shared" si="390"/>
        <v>18020</v>
      </c>
      <c r="AH129" s="15">
        <f t="shared" si="391"/>
        <v>3180</v>
      </c>
      <c r="AI129" s="15">
        <f t="shared" si="392"/>
        <v>636</v>
      </c>
      <c r="AJ129" s="15">
        <f t="shared" si="393"/>
        <v>2162.4</v>
      </c>
      <c r="AK129" s="49"/>
      <c r="AL129" s="15">
        <f t="shared" si="394"/>
        <v>203.52</v>
      </c>
      <c r="AM129" s="49"/>
      <c r="AN129" s="15">
        <f t="shared" si="395"/>
        <v>127.2</v>
      </c>
      <c r="AO129" s="49"/>
      <c r="AP129" s="15">
        <f t="shared" si="396"/>
        <v>50.88</v>
      </c>
      <c r="AQ129" s="316"/>
    </row>
    <row r="130" spans="1:43">
      <c r="A130" s="280" t="str">
        <f>'18年合同登记表'!D170</f>
        <v>陈勇</v>
      </c>
      <c r="B130" s="15" t="str">
        <f>'18年合同登记表'!H170</f>
        <v>无</v>
      </c>
      <c r="C130" s="281">
        <f>'18年合同登记表'!J170</f>
        <v>43405</v>
      </c>
      <c r="D130" s="281">
        <f>'18年合同登记表'!K170</f>
        <v>43525</v>
      </c>
      <c r="E130" s="282"/>
      <c r="F130" s="3"/>
      <c r="G130" s="3"/>
      <c r="H130" s="3"/>
      <c r="I130" s="3"/>
      <c r="J130" s="3"/>
      <c r="K130" s="15">
        <f t="shared" si="667"/>
        <v>43525</v>
      </c>
      <c r="L130" s="289">
        <f t="shared" si="380"/>
        <v>1</v>
      </c>
      <c r="M130" s="282"/>
      <c r="N130" s="3"/>
      <c r="O130" s="3"/>
      <c r="P130" s="3"/>
      <c r="Q130" s="3"/>
      <c r="R130" s="3"/>
      <c r="S130" s="3"/>
      <c r="T130" s="3"/>
      <c r="U130" s="3">
        <v>0</v>
      </c>
      <c r="V130" s="3">
        <f>'18年合同登记表'!Q170</f>
        <v>15900</v>
      </c>
      <c r="W130" s="297">
        <f>'18年合同登记表'!R170</f>
        <v>1</v>
      </c>
      <c r="X130" s="15">
        <f t="shared" si="668"/>
        <v>43525</v>
      </c>
      <c r="Y130" s="289">
        <f t="shared" si="382"/>
        <v>1</v>
      </c>
      <c r="Z130" s="280">
        <f t="shared" si="383"/>
        <v>36996.25</v>
      </c>
      <c r="AA130" s="15">
        <f t="shared" si="384"/>
        <v>6528.75</v>
      </c>
      <c r="AB130" s="15">
        <f t="shared" si="385"/>
        <v>1305.75</v>
      </c>
      <c r="AC130" s="15">
        <f t="shared" si="386"/>
        <v>4439.55</v>
      </c>
      <c r="AD130" s="15">
        <f t="shared" si="387"/>
        <v>417.84</v>
      </c>
      <c r="AE130" s="15">
        <f t="shared" si="388"/>
        <v>261.15</v>
      </c>
      <c r="AF130" s="281">
        <f t="shared" si="389"/>
        <v>104.46</v>
      </c>
      <c r="AG130" s="280">
        <f t="shared" si="390"/>
        <v>36996.25</v>
      </c>
      <c r="AH130" s="15">
        <f t="shared" si="391"/>
        <v>6528.75</v>
      </c>
      <c r="AI130" s="15">
        <f t="shared" si="392"/>
        <v>1305.75</v>
      </c>
      <c r="AJ130" s="15">
        <f t="shared" si="393"/>
        <v>4439.55</v>
      </c>
      <c r="AK130" s="49"/>
      <c r="AL130" s="15">
        <f t="shared" si="394"/>
        <v>417.84</v>
      </c>
      <c r="AM130" s="49"/>
      <c r="AN130" s="15">
        <f t="shared" si="395"/>
        <v>261.15</v>
      </c>
      <c r="AO130" s="49"/>
      <c r="AP130" s="15">
        <f t="shared" si="396"/>
        <v>104.46</v>
      </c>
      <c r="AQ130" s="316"/>
    </row>
    <row r="131" spans="1:43">
      <c r="A131" s="280" t="e">
        <f>'18年合同登记表'!#REF!</f>
        <v>#REF!</v>
      </c>
      <c r="B131" s="15" t="e">
        <f>'18年合同登记表'!#REF!</f>
        <v>#REF!</v>
      </c>
      <c r="C131" s="281" t="e">
        <f>'18年合同登记表'!#REF!</f>
        <v>#REF!</v>
      </c>
      <c r="D131" s="281" t="e">
        <f>'18年合同登记表'!#REF!</f>
        <v>#REF!</v>
      </c>
      <c r="E131" s="282"/>
      <c r="F131" s="3"/>
      <c r="G131" s="3"/>
      <c r="H131" s="3"/>
      <c r="I131" s="3"/>
      <c r="J131" s="3"/>
      <c r="K131" s="15" t="e">
        <f t="shared" si="667"/>
        <v>#REF!</v>
      </c>
      <c r="L131" s="289" t="e">
        <f t="shared" si="380"/>
        <v>#REF!</v>
      </c>
      <c r="M131" s="282"/>
      <c r="N131" s="3"/>
      <c r="O131" s="3"/>
      <c r="P131" s="3"/>
      <c r="Q131" s="3"/>
      <c r="R131" s="3"/>
      <c r="S131" s="3"/>
      <c r="T131" s="3"/>
      <c r="U131" s="3">
        <v>0</v>
      </c>
      <c r="V131" s="3" t="e">
        <f>'18年合同登记表'!#REF!</f>
        <v>#REF!</v>
      </c>
      <c r="W131" s="297" t="e">
        <f>'18年合同登记表'!#REF!</f>
        <v>#REF!</v>
      </c>
      <c r="X131" s="15" t="e">
        <f t="shared" si="668"/>
        <v>#REF!</v>
      </c>
      <c r="Y131" s="289" t="e">
        <f t="shared" si="382"/>
        <v>#REF!</v>
      </c>
      <c r="Z131" s="280" t="e">
        <f t="shared" si="383"/>
        <v>#REF!</v>
      </c>
      <c r="AA131" s="15" t="e">
        <f t="shared" si="384"/>
        <v>#REF!</v>
      </c>
      <c r="AB131" s="15" t="e">
        <f t="shared" si="385"/>
        <v>#REF!</v>
      </c>
      <c r="AC131" s="15" t="e">
        <f t="shared" si="386"/>
        <v>#REF!</v>
      </c>
      <c r="AD131" s="15" t="e">
        <f t="shared" si="387"/>
        <v>#REF!</v>
      </c>
      <c r="AE131" s="15" t="e">
        <f t="shared" si="388"/>
        <v>#REF!</v>
      </c>
      <c r="AF131" s="281" t="e">
        <f t="shared" si="389"/>
        <v>#REF!</v>
      </c>
      <c r="AG131" s="280" t="e">
        <f t="shared" si="390"/>
        <v>#REF!</v>
      </c>
      <c r="AH131" s="15" t="e">
        <f t="shared" si="391"/>
        <v>#REF!</v>
      </c>
      <c r="AI131" s="15" t="e">
        <f t="shared" si="392"/>
        <v>#REF!</v>
      </c>
      <c r="AJ131" s="15" t="e">
        <f t="shared" si="393"/>
        <v>#REF!</v>
      </c>
      <c r="AK131" s="49"/>
      <c r="AL131" s="15" t="e">
        <f t="shared" si="394"/>
        <v>#REF!</v>
      </c>
      <c r="AM131" s="49"/>
      <c r="AN131" s="15" t="e">
        <f t="shared" si="395"/>
        <v>#REF!</v>
      </c>
      <c r="AO131" s="49"/>
      <c r="AP131" s="15" t="e">
        <f t="shared" si="396"/>
        <v>#REF!</v>
      </c>
      <c r="AQ131" s="316"/>
    </row>
    <row r="132" spans="1:43">
      <c r="A132" s="285" t="s">
        <v>53</v>
      </c>
      <c r="B132" s="13"/>
      <c r="C132" s="286"/>
      <c r="D132" s="286">
        <f>'18年合同登记表'!M171</f>
        <v>830622.84</v>
      </c>
      <c r="E132" s="13">
        <f t="shared" ref="E132" si="669">SUM(E124:E131)</f>
        <v>0</v>
      </c>
      <c r="F132" s="13">
        <f t="shared" ref="F132" si="670">SUM(F124:F131)</f>
        <v>0</v>
      </c>
      <c r="G132" s="13">
        <f t="shared" ref="G132" si="671">SUM(G124:G131)</f>
        <v>0</v>
      </c>
      <c r="H132" s="13">
        <f t="shared" ref="H132" si="672">SUM(H124:H131)</f>
        <v>0</v>
      </c>
      <c r="I132" s="13">
        <f t="shared" ref="I132" si="673">SUM(I124:I131)</f>
        <v>0</v>
      </c>
      <c r="J132" s="13">
        <f t="shared" ref="J132:K132" si="674">SUM(J124:J131)</f>
        <v>0</v>
      </c>
      <c r="K132" s="13" t="e">
        <f t="shared" si="674"/>
        <v>#REF!</v>
      </c>
      <c r="L132" s="290" t="e">
        <f t="shared" si="380"/>
        <v>#REF!</v>
      </c>
      <c r="M132" s="13">
        <f t="shared" ref="M132" si="675">SUM(M124:M131)</f>
        <v>0</v>
      </c>
      <c r="N132" s="13">
        <f t="shared" ref="N132" si="676">SUM(N124:N131)</f>
        <v>0</v>
      </c>
      <c r="O132" s="13">
        <f t="shared" ref="O132" si="677">SUM(O124:O131)</f>
        <v>0</v>
      </c>
      <c r="P132" s="13">
        <f t="shared" ref="P132" si="678">SUM(P124:P131)</f>
        <v>0</v>
      </c>
      <c r="Q132" s="13">
        <f t="shared" ref="Q132" si="679">SUM(Q124:Q131)</f>
        <v>0</v>
      </c>
      <c r="R132" s="13">
        <f t="shared" ref="R132" si="680">SUM(R124:R131)</f>
        <v>0</v>
      </c>
      <c r="S132" s="13">
        <f t="shared" ref="S132" si="681">SUM(S124:S131)</f>
        <v>0</v>
      </c>
      <c r="T132" s="13">
        <f t="shared" ref="T132" si="682">SUM(T124:T131)</f>
        <v>0</v>
      </c>
      <c r="U132" s="13">
        <f t="shared" ref="U132:V132" si="683">SUM(U124:U131)</f>
        <v>0</v>
      </c>
      <c r="V132" s="13" t="e">
        <f t="shared" si="683"/>
        <v>#REF!</v>
      </c>
      <c r="W132" s="298">
        <f>'18年合同登记表'!R171</f>
        <v>0.983145178141261</v>
      </c>
      <c r="X132" s="13" t="e">
        <f>SUM(X124:X131)</f>
        <v>#REF!</v>
      </c>
      <c r="Y132" s="290" t="e">
        <f t="shared" si="382"/>
        <v>#REF!</v>
      </c>
      <c r="Z132" s="13" t="e">
        <f t="shared" ref="Z132" si="684">SUM(Z124:Z131)</f>
        <v>#REF!</v>
      </c>
      <c r="AA132" s="13" t="e">
        <f t="shared" ref="AA132" si="685">SUM(AA124:AA131)</f>
        <v>#REF!</v>
      </c>
      <c r="AB132" s="13" t="e">
        <f t="shared" ref="AB132" si="686">SUM(AB124:AB131)</f>
        <v>#REF!</v>
      </c>
      <c r="AC132" s="13" t="e">
        <f t="shared" ref="AC132" si="687">SUM(AC124:AC131)</f>
        <v>#REF!</v>
      </c>
      <c r="AD132" s="13" t="e">
        <f t="shared" ref="AD132" si="688">SUM(AD124:AD131)</f>
        <v>#REF!</v>
      </c>
      <c r="AE132" s="13" t="e">
        <f t="shared" ref="AE132" si="689">SUM(AE124:AE131)</f>
        <v>#REF!</v>
      </c>
      <c r="AF132" s="13" t="e">
        <f t="shared" ref="AF132" si="690">SUM(AF124:AF131)</f>
        <v>#REF!</v>
      </c>
      <c r="AG132" s="13" t="e">
        <f t="shared" ref="AG132" si="691">SUM(AG124:AG131)</f>
        <v>#REF!</v>
      </c>
      <c r="AH132" s="13" t="e">
        <f t="shared" ref="AH132" si="692">SUM(AH124:AH131)</f>
        <v>#REF!</v>
      </c>
      <c r="AI132" s="13" t="e">
        <f t="shared" ref="AI132" si="693">SUM(AI124:AI131)</f>
        <v>#REF!</v>
      </c>
      <c r="AJ132" s="13" t="e">
        <f t="shared" ref="AJ132" si="694">SUM(AJ124:AJ131)</f>
        <v>#REF!</v>
      </c>
      <c r="AK132" s="13">
        <f t="shared" ref="AK132" si="695">SUM(AK124:AK131)</f>
        <v>0</v>
      </c>
      <c r="AL132" s="13" t="e">
        <f t="shared" ref="AL132" si="696">SUM(AL124:AL131)</f>
        <v>#REF!</v>
      </c>
      <c r="AM132" s="13">
        <f t="shared" ref="AM132" si="697">SUM(AM124:AM131)</f>
        <v>0</v>
      </c>
      <c r="AN132" s="13" t="e">
        <f t="shared" ref="AN132" si="698">SUM(AN124:AN131)</f>
        <v>#REF!</v>
      </c>
      <c r="AO132" s="13">
        <f t="shared" ref="AO132" si="699">SUM(AO124:AO131)</f>
        <v>0</v>
      </c>
      <c r="AP132" s="13" t="e">
        <f t="shared" ref="AP132" si="700">SUM(AP124:AP131)</f>
        <v>#REF!</v>
      </c>
      <c r="AQ132" s="13">
        <f t="shared" ref="AQ132" si="701">SUM(AQ124:AQ131)</f>
        <v>0</v>
      </c>
    </row>
    <row r="133" spans="1:43">
      <c r="A133" s="285" t="s">
        <v>54</v>
      </c>
      <c r="B133" s="13"/>
      <c r="C133" s="286"/>
      <c r="D133" s="286">
        <f>'18年合同登记表'!M172</f>
        <v>18545057.41</v>
      </c>
      <c r="E133" s="13">
        <f t="shared" ref="E133" si="702">E123+E132</f>
        <v>97470</v>
      </c>
      <c r="F133" s="13">
        <f t="shared" ref="F133" si="703">F123+F132</f>
        <v>509816</v>
      </c>
      <c r="G133" s="13">
        <f t="shared" ref="G133" si="704">G123+G132</f>
        <v>130076.3</v>
      </c>
      <c r="H133" s="13">
        <f t="shared" ref="H133" si="705">H123+H132</f>
        <v>134561</v>
      </c>
      <c r="I133" s="13">
        <f t="shared" ref="I133" si="706">I123+I132</f>
        <v>66251</v>
      </c>
      <c r="J133" s="13">
        <f t="shared" ref="J133:K133" si="707">J123+J132</f>
        <v>13577</v>
      </c>
      <c r="K133" s="13" t="e">
        <f t="shared" si="707"/>
        <v>#REF!</v>
      </c>
      <c r="L133" s="290" t="e">
        <f t="shared" si="380"/>
        <v>#REF!</v>
      </c>
      <c r="M133" s="13">
        <f t="shared" ref="M133" si="708">M123+M132</f>
        <v>330</v>
      </c>
      <c r="N133" s="13">
        <f t="shared" ref="N133" si="709">N123+N132</f>
        <v>5495</v>
      </c>
      <c r="O133" s="13">
        <f t="shared" ref="O133" si="710">O123+O132</f>
        <v>2620.2</v>
      </c>
      <c r="P133" s="13">
        <f t="shared" ref="P133" si="711">P123+P132</f>
        <v>5000</v>
      </c>
      <c r="Q133" s="13">
        <f t="shared" ref="Q133" si="712">Q123+Q132</f>
        <v>1650</v>
      </c>
      <c r="R133" s="13">
        <f t="shared" ref="R133" si="713">R123+R132</f>
        <v>330</v>
      </c>
      <c r="S133" s="13">
        <f t="shared" ref="S133" si="714">S123+S132</f>
        <v>0</v>
      </c>
      <c r="T133" s="13">
        <f t="shared" ref="T133" si="715">T123+T132</f>
        <v>0</v>
      </c>
      <c r="U133" s="13">
        <f t="shared" ref="U133:V133" si="716">U123+U132</f>
        <v>0</v>
      </c>
      <c r="V133" s="13" t="e">
        <f t="shared" si="716"/>
        <v>#REF!</v>
      </c>
      <c r="W133" s="298">
        <f>'18年合同登记表'!R172</f>
        <v>0.421465562882827</v>
      </c>
      <c r="X133" s="13" t="e">
        <f>X123+X132</f>
        <v>#REF!</v>
      </c>
      <c r="Y133" s="290" t="e">
        <f t="shared" si="382"/>
        <v>#REF!</v>
      </c>
      <c r="Z133" s="13" t="e">
        <f t="shared" ref="Z133" si="717">Z123+Z132</f>
        <v>#REF!</v>
      </c>
      <c r="AA133" s="13" t="e">
        <f t="shared" ref="AA133" si="718">AA123+AA132</f>
        <v>#REF!</v>
      </c>
      <c r="AB133" s="13" t="e">
        <f t="shared" ref="AB133" si="719">AB123+AB132</f>
        <v>#REF!</v>
      </c>
      <c r="AC133" s="13" t="e">
        <f t="shared" ref="AC133" si="720">AC123+AC132</f>
        <v>#REF!</v>
      </c>
      <c r="AD133" s="13" t="e">
        <f t="shared" ref="AD133" si="721">AD123+AD132</f>
        <v>#REF!</v>
      </c>
      <c r="AE133" s="13" t="e">
        <f t="shared" ref="AE133" si="722">AE123+AE132</f>
        <v>#REF!</v>
      </c>
      <c r="AF133" s="13" t="e">
        <f t="shared" ref="AF133" si="723">AF123+AF132</f>
        <v>#REF!</v>
      </c>
      <c r="AG133" s="13" t="e">
        <f t="shared" ref="AG133" si="724">AG123+AG132</f>
        <v>#REF!</v>
      </c>
      <c r="AH133" s="13" t="e">
        <f t="shared" ref="AH133" si="725">AH123+AH132</f>
        <v>#REF!</v>
      </c>
      <c r="AI133" s="13" t="e">
        <f t="shared" ref="AI133" si="726">AI123+AI132</f>
        <v>#REF!</v>
      </c>
      <c r="AJ133" s="13" t="e">
        <f t="shared" ref="AJ133" si="727">AJ123+AJ132</f>
        <v>#REF!</v>
      </c>
      <c r="AK133" s="13">
        <f t="shared" ref="AK133" si="728">AK123+AK132</f>
        <v>0</v>
      </c>
      <c r="AL133" s="13" t="e">
        <f t="shared" ref="AL133" si="729">AL123+AL132</f>
        <v>#REF!</v>
      </c>
      <c r="AM133" s="13">
        <f t="shared" ref="AM133" si="730">AM123+AM132</f>
        <v>0</v>
      </c>
      <c r="AN133" s="13" t="e">
        <f t="shared" ref="AN133" si="731">AN123+AN132</f>
        <v>#REF!</v>
      </c>
      <c r="AO133" s="13">
        <f t="shared" ref="AO133" si="732">AO123+AO132</f>
        <v>0</v>
      </c>
      <c r="AP133" s="13" t="e">
        <f t="shared" ref="AP133" si="733">AP123+AP132</f>
        <v>#REF!</v>
      </c>
      <c r="AQ133" s="13">
        <f t="shared" ref="AQ133" si="734">AQ123+AQ132</f>
        <v>0</v>
      </c>
    </row>
    <row r="134" spans="1:43">
      <c r="A134" s="280" t="str">
        <f>'18年合同登记表'!F173</f>
        <v>环普科技园</v>
      </c>
      <c r="B134" s="15" t="str">
        <f>'18年合同登记表'!I173</f>
        <v>力浩2号楼中央空调维修保养</v>
      </c>
      <c r="C134" s="281" t="str">
        <f>'18年合同登记表'!L173</f>
        <v>卢志强</v>
      </c>
      <c r="D134" s="281">
        <f>'18年合同登记表'!M173</f>
        <v>66000</v>
      </c>
      <c r="E134" s="282"/>
      <c r="F134" s="3"/>
      <c r="G134" s="3"/>
      <c r="H134" s="3"/>
      <c r="I134" s="3"/>
      <c r="J134" s="3"/>
      <c r="K134" s="15">
        <f t="shared" ref="K134:K141" si="735">D134-E134-F134-G134-H134-I134-J134</f>
        <v>66000</v>
      </c>
      <c r="L134" s="289">
        <f t="shared" si="380"/>
        <v>1</v>
      </c>
      <c r="M134" s="282"/>
      <c r="N134" s="3"/>
      <c r="O134" s="3"/>
      <c r="P134" s="3"/>
      <c r="Q134" s="3"/>
      <c r="R134" s="3"/>
      <c r="S134" s="3"/>
      <c r="T134" s="3"/>
      <c r="U134" s="3">
        <v>0</v>
      </c>
      <c r="V134" s="3">
        <f>'18年合同登记表'!Q173</f>
        <v>46000</v>
      </c>
      <c r="W134" s="297">
        <f>'18年合同登记表'!R173</f>
        <v>0.696969696969697</v>
      </c>
      <c r="X134" s="15">
        <f t="shared" ref="X134:X143" si="736">D134-M134-N134-O134-P134-Q134-R134-U134</f>
        <v>66000</v>
      </c>
      <c r="Y134" s="289">
        <f t="shared" si="382"/>
        <v>1</v>
      </c>
      <c r="Z134" s="280">
        <f t="shared" si="383"/>
        <v>56100</v>
      </c>
      <c r="AA134" s="15">
        <f t="shared" si="384"/>
        <v>9900</v>
      </c>
      <c r="AB134" s="15">
        <f t="shared" si="385"/>
        <v>1980</v>
      </c>
      <c r="AC134" s="15">
        <f t="shared" si="386"/>
        <v>6732</v>
      </c>
      <c r="AD134" s="15">
        <f t="shared" si="387"/>
        <v>633.6</v>
      </c>
      <c r="AE134" s="15">
        <f t="shared" si="388"/>
        <v>396</v>
      </c>
      <c r="AF134" s="281">
        <f t="shared" si="389"/>
        <v>158.4</v>
      </c>
      <c r="AG134" s="280">
        <f t="shared" si="390"/>
        <v>56100</v>
      </c>
      <c r="AH134" s="15">
        <f t="shared" si="391"/>
        <v>9900</v>
      </c>
      <c r="AI134" s="15">
        <f t="shared" si="392"/>
        <v>1380</v>
      </c>
      <c r="AJ134" s="15">
        <f t="shared" si="393"/>
        <v>4692</v>
      </c>
      <c r="AK134" s="49"/>
      <c r="AL134" s="15">
        <f t="shared" si="394"/>
        <v>441.6</v>
      </c>
      <c r="AM134" s="49"/>
      <c r="AN134" s="15">
        <f t="shared" si="395"/>
        <v>276</v>
      </c>
      <c r="AO134" s="49"/>
      <c r="AP134" s="15">
        <f t="shared" si="396"/>
        <v>110.4</v>
      </c>
      <c r="AQ134" s="316"/>
    </row>
    <row r="135" spans="1:43">
      <c r="A135" s="280" t="str">
        <f>'18年合同登记表'!F174</f>
        <v>乐乎公寓</v>
      </c>
      <c r="B135" s="15" t="str">
        <f>'18年合同登记表'!I174</f>
        <v>空调运行</v>
      </c>
      <c r="C135" s="281" t="str">
        <f>'18年合同登记表'!L174</f>
        <v>徐利斌</v>
      </c>
      <c r="D135" s="281">
        <f>'18年合同登记表'!M174</f>
        <v>480000</v>
      </c>
      <c r="E135" s="282"/>
      <c r="F135" s="3"/>
      <c r="G135" s="3"/>
      <c r="H135" s="3"/>
      <c r="I135" s="3"/>
      <c r="J135" s="3"/>
      <c r="K135" s="15">
        <f t="shared" si="735"/>
        <v>480000</v>
      </c>
      <c r="L135" s="289">
        <f t="shared" si="380"/>
        <v>1</v>
      </c>
      <c r="M135" s="282"/>
      <c r="N135" s="3"/>
      <c r="O135" s="3"/>
      <c r="P135" s="3"/>
      <c r="Q135" s="3"/>
      <c r="R135" s="3"/>
      <c r="S135" s="3"/>
      <c r="T135" s="3"/>
      <c r="U135" s="3">
        <v>0</v>
      </c>
      <c r="V135" s="3">
        <f>'18年合同登记表'!Q174</f>
        <v>0</v>
      </c>
      <c r="W135" s="297">
        <f>'18年合同登记表'!R174</f>
        <v>0</v>
      </c>
      <c r="X135" s="15">
        <f t="shared" si="736"/>
        <v>480000</v>
      </c>
      <c r="Y135" s="289">
        <f t="shared" si="382"/>
        <v>1</v>
      </c>
      <c r="Z135" s="280">
        <f t="shared" si="383"/>
        <v>408000</v>
      </c>
      <c r="AA135" s="15">
        <f t="shared" si="384"/>
        <v>72000</v>
      </c>
      <c r="AB135" s="15">
        <f t="shared" si="385"/>
        <v>14400</v>
      </c>
      <c r="AC135" s="15">
        <f t="shared" si="386"/>
        <v>48960</v>
      </c>
      <c r="AD135" s="15">
        <f t="shared" si="387"/>
        <v>4608</v>
      </c>
      <c r="AE135" s="15">
        <f t="shared" si="388"/>
        <v>2880</v>
      </c>
      <c r="AF135" s="281">
        <f t="shared" si="389"/>
        <v>1152</v>
      </c>
      <c r="AG135" s="280">
        <f t="shared" si="390"/>
        <v>408000</v>
      </c>
      <c r="AH135" s="15">
        <f t="shared" si="391"/>
        <v>72000</v>
      </c>
      <c r="AI135" s="15">
        <f t="shared" si="392"/>
        <v>0</v>
      </c>
      <c r="AJ135" s="15">
        <f t="shared" si="393"/>
        <v>0</v>
      </c>
      <c r="AK135" s="49"/>
      <c r="AL135" s="15">
        <f t="shared" si="394"/>
        <v>0</v>
      </c>
      <c r="AM135" s="49"/>
      <c r="AN135" s="15">
        <f t="shared" si="395"/>
        <v>0</v>
      </c>
      <c r="AO135" s="49"/>
      <c r="AP135" s="15">
        <f t="shared" si="396"/>
        <v>0</v>
      </c>
      <c r="AQ135" s="316"/>
    </row>
    <row r="136" spans="1:43">
      <c r="A136" s="280" t="str">
        <f>'18年合同登记表'!F175</f>
        <v>新农创/熊猫公寓</v>
      </c>
      <c r="B136" s="15" t="str">
        <f>'18年合同登记表'!I175</f>
        <v>空调运行合同</v>
      </c>
      <c r="C136" s="281" t="str">
        <f>'18年合同登记表'!L175</f>
        <v>徐利斌</v>
      </c>
      <c r="D136" s="281">
        <f>'18年合同登记表'!M175</f>
        <v>1116000</v>
      </c>
      <c r="E136" s="282"/>
      <c r="F136" s="3"/>
      <c r="G136" s="3"/>
      <c r="H136" s="3"/>
      <c r="I136" s="3"/>
      <c r="J136" s="3"/>
      <c r="K136" s="15">
        <f t="shared" si="735"/>
        <v>1116000</v>
      </c>
      <c r="L136" s="289">
        <f t="shared" si="380"/>
        <v>1</v>
      </c>
      <c r="M136" s="282"/>
      <c r="N136" s="3"/>
      <c r="O136" s="3"/>
      <c r="P136" s="3"/>
      <c r="Q136" s="3"/>
      <c r="R136" s="3"/>
      <c r="S136" s="3"/>
      <c r="T136" s="3"/>
      <c r="U136" s="3">
        <v>0</v>
      </c>
      <c r="V136" s="3">
        <f>'18年合同登记表'!Q175</f>
        <v>0</v>
      </c>
      <c r="W136" s="297">
        <f>'18年合同登记表'!R175</f>
        <v>0</v>
      </c>
      <c r="X136" s="15">
        <f t="shared" si="736"/>
        <v>1116000</v>
      </c>
      <c r="Y136" s="289">
        <f t="shared" si="382"/>
        <v>1</v>
      </c>
      <c r="Z136" s="280">
        <f t="shared" si="383"/>
        <v>948600</v>
      </c>
      <c r="AA136" s="15">
        <f t="shared" si="384"/>
        <v>167400</v>
      </c>
      <c r="AB136" s="15">
        <f t="shared" si="385"/>
        <v>33480</v>
      </c>
      <c r="AC136" s="15">
        <f t="shared" si="386"/>
        <v>113832</v>
      </c>
      <c r="AD136" s="15">
        <f t="shared" si="387"/>
        <v>10713.6</v>
      </c>
      <c r="AE136" s="15">
        <f t="shared" si="388"/>
        <v>6696</v>
      </c>
      <c r="AF136" s="281">
        <f t="shared" si="389"/>
        <v>2678.4</v>
      </c>
      <c r="AG136" s="280">
        <f t="shared" si="390"/>
        <v>948600</v>
      </c>
      <c r="AH136" s="15">
        <f t="shared" si="391"/>
        <v>167400</v>
      </c>
      <c r="AI136" s="15">
        <f t="shared" si="392"/>
        <v>0</v>
      </c>
      <c r="AJ136" s="15">
        <f t="shared" si="393"/>
        <v>0</v>
      </c>
      <c r="AK136" s="49"/>
      <c r="AL136" s="15">
        <f t="shared" si="394"/>
        <v>0</v>
      </c>
      <c r="AM136" s="49"/>
      <c r="AN136" s="15">
        <f t="shared" si="395"/>
        <v>0</v>
      </c>
      <c r="AO136" s="49"/>
      <c r="AP136" s="15">
        <f t="shared" si="396"/>
        <v>0</v>
      </c>
      <c r="AQ136" s="316"/>
    </row>
    <row r="137" spans="1:43">
      <c r="A137" s="280" t="str">
        <f>'18年合同登记表'!F176</f>
        <v>环境大厦</v>
      </c>
      <c r="B137" s="15" t="str">
        <f>'18年合同登记表'!I176</f>
        <v>更换显示屏</v>
      </c>
      <c r="C137" s="281" t="str">
        <f>'18年合同登记表'!L176</f>
        <v>陈勇</v>
      </c>
      <c r="D137" s="281">
        <f>'18年合同登记表'!M176</f>
        <v>12416</v>
      </c>
      <c r="E137" s="282"/>
      <c r="F137" s="3"/>
      <c r="G137" s="3"/>
      <c r="H137" s="3"/>
      <c r="I137" s="3"/>
      <c r="J137" s="3"/>
      <c r="K137" s="15">
        <f t="shared" si="735"/>
        <v>12416</v>
      </c>
      <c r="L137" s="289">
        <f t="shared" si="380"/>
        <v>1</v>
      </c>
      <c r="M137" s="282"/>
      <c r="N137" s="3"/>
      <c r="O137" s="3"/>
      <c r="P137" s="3"/>
      <c r="Q137" s="3"/>
      <c r="R137" s="3"/>
      <c r="S137" s="3"/>
      <c r="T137" s="3"/>
      <c r="U137" s="3">
        <v>0</v>
      </c>
      <c r="V137" s="3">
        <f>'18年合同登记表'!Q176</f>
        <v>12416</v>
      </c>
      <c r="W137" s="297">
        <f>'18年合同登记表'!R176</f>
        <v>1</v>
      </c>
      <c r="X137" s="15">
        <f t="shared" si="736"/>
        <v>12416</v>
      </c>
      <c r="Y137" s="289">
        <f t="shared" si="382"/>
        <v>1</v>
      </c>
      <c r="Z137" s="280">
        <f t="shared" si="383"/>
        <v>10553.6</v>
      </c>
      <c r="AA137" s="15">
        <f t="shared" si="384"/>
        <v>1862.4</v>
      </c>
      <c r="AB137" s="15">
        <f t="shared" si="385"/>
        <v>372.48</v>
      </c>
      <c r="AC137" s="15">
        <f t="shared" si="386"/>
        <v>1266.432</v>
      </c>
      <c r="AD137" s="15">
        <f t="shared" si="387"/>
        <v>119.1936</v>
      </c>
      <c r="AE137" s="15">
        <f t="shared" si="388"/>
        <v>74.496</v>
      </c>
      <c r="AF137" s="281">
        <f t="shared" si="389"/>
        <v>29.7984</v>
      </c>
      <c r="AG137" s="280">
        <f t="shared" si="390"/>
        <v>10553.6</v>
      </c>
      <c r="AH137" s="15">
        <f t="shared" si="391"/>
        <v>1862.4</v>
      </c>
      <c r="AI137" s="15">
        <f t="shared" si="392"/>
        <v>372.48</v>
      </c>
      <c r="AJ137" s="15">
        <f t="shared" si="393"/>
        <v>1266.432</v>
      </c>
      <c r="AK137" s="49"/>
      <c r="AL137" s="15">
        <f t="shared" si="394"/>
        <v>119.1936</v>
      </c>
      <c r="AM137" s="49"/>
      <c r="AN137" s="15">
        <f t="shared" si="395"/>
        <v>74.496</v>
      </c>
      <c r="AO137" s="49"/>
      <c r="AP137" s="15">
        <f t="shared" si="396"/>
        <v>29.7984</v>
      </c>
      <c r="AQ137" s="316"/>
    </row>
    <row r="138" spans="1:43">
      <c r="A138" s="280" t="str">
        <f>'18年合同登记表'!F177</f>
        <v>国勤</v>
      </c>
      <c r="B138" s="15" t="str">
        <f>'18年合同登记表'!I177</f>
        <v>更换程控器</v>
      </c>
      <c r="C138" s="281" t="str">
        <f>'18年合同登记表'!L177</f>
        <v>陈勇</v>
      </c>
      <c r="D138" s="281">
        <f>'18年合同登记表'!M177</f>
        <v>1900</v>
      </c>
      <c r="E138" s="282"/>
      <c r="F138" s="3"/>
      <c r="G138" s="3"/>
      <c r="H138" s="3"/>
      <c r="I138" s="3"/>
      <c r="J138" s="3"/>
      <c r="K138" s="15">
        <f t="shared" si="735"/>
        <v>1900</v>
      </c>
      <c r="L138" s="289">
        <f t="shared" si="380"/>
        <v>1</v>
      </c>
      <c r="M138" s="282"/>
      <c r="N138" s="3"/>
      <c r="O138" s="3"/>
      <c r="P138" s="3"/>
      <c r="Q138" s="3"/>
      <c r="R138" s="3"/>
      <c r="S138" s="3"/>
      <c r="T138" s="3"/>
      <c r="U138" s="3">
        <v>0</v>
      </c>
      <c r="V138" s="3">
        <f>'18年合同登记表'!Q177</f>
        <v>1900</v>
      </c>
      <c r="W138" s="297">
        <f>'18年合同登记表'!R177</f>
        <v>1</v>
      </c>
      <c r="X138" s="15">
        <f t="shared" si="736"/>
        <v>1900</v>
      </c>
      <c r="Y138" s="289">
        <f t="shared" si="382"/>
        <v>1</v>
      </c>
      <c r="Z138" s="280">
        <f t="shared" si="383"/>
        <v>1615</v>
      </c>
      <c r="AA138" s="15">
        <f t="shared" si="384"/>
        <v>285</v>
      </c>
      <c r="AB138" s="15">
        <f t="shared" si="385"/>
        <v>57</v>
      </c>
      <c r="AC138" s="15">
        <f t="shared" si="386"/>
        <v>193.8</v>
      </c>
      <c r="AD138" s="15">
        <f t="shared" si="387"/>
        <v>18.24</v>
      </c>
      <c r="AE138" s="15">
        <f t="shared" si="388"/>
        <v>11.4</v>
      </c>
      <c r="AF138" s="281">
        <f t="shared" si="389"/>
        <v>4.56</v>
      </c>
      <c r="AG138" s="280">
        <f t="shared" si="390"/>
        <v>1615</v>
      </c>
      <c r="AH138" s="15">
        <f t="shared" si="391"/>
        <v>285</v>
      </c>
      <c r="AI138" s="15">
        <f t="shared" si="392"/>
        <v>57</v>
      </c>
      <c r="AJ138" s="15">
        <f t="shared" si="393"/>
        <v>193.8</v>
      </c>
      <c r="AK138" s="49"/>
      <c r="AL138" s="15">
        <f t="shared" si="394"/>
        <v>18.24</v>
      </c>
      <c r="AM138" s="49"/>
      <c r="AN138" s="15">
        <f t="shared" si="395"/>
        <v>11.4</v>
      </c>
      <c r="AO138" s="49"/>
      <c r="AP138" s="15">
        <f t="shared" si="396"/>
        <v>4.56</v>
      </c>
      <c r="AQ138" s="316"/>
    </row>
    <row r="139" spans="1:43">
      <c r="A139" s="280" t="str">
        <f>'18年合同登记表'!F178</f>
        <v>香岩寺</v>
      </c>
      <c r="B139" s="15" t="str">
        <f>'18年合同登记表'!I178</f>
        <v>定压补水罐内胆更换</v>
      </c>
      <c r="C139" s="281" t="str">
        <f>'18年合同登记表'!L178</f>
        <v>陈勇</v>
      </c>
      <c r="D139" s="281">
        <f>'18年合同登记表'!M178</f>
        <v>6350</v>
      </c>
      <c r="E139" s="282"/>
      <c r="F139" s="3"/>
      <c r="G139" s="3"/>
      <c r="H139" s="3"/>
      <c r="I139" s="3"/>
      <c r="J139" s="3"/>
      <c r="K139" s="15">
        <f t="shared" si="735"/>
        <v>6350</v>
      </c>
      <c r="L139" s="289">
        <f t="shared" si="380"/>
        <v>1</v>
      </c>
      <c r="M139" s="282"/>
      <c r="N139" s="3"/>
      <c r="O139" s="3"/>
      <c r="P139" s="3"/>
      <c r="Q139" s="3"/>
      <c r="R139" s="3"/>
      <c r="S139" s="3"/>
      <c r="T139" s="3"/>
      <c r="U139" s="3">
        <v>0</v>
      </c>
      <c r="V139" s="3">
        <f>'18年合同登记表'!Q178</f>
        <v>6350</v>
      </c>
      <c r="W139" s="297">
        <f>'18年合同登记表'!R178</f>
        <v>1</v>
      </c>
      <c r="X139" s="15">
        <f t="shared" si="736"/>
        <v>6350</v>
      </c>
      <c r="Y139" s="289">
        <f t="shared" si="382"/>
        <v>1</v>
      </c>
      <c r="Z139" s="280">
        <f t="shared" si="383"/>
        <v>5397.5</v>
      </c>
      <c r="AA139" s="15">
        <f t="shared" si="384"/>
        <v>952.5</v>
      </c>
      <c r="AB139" s="15">
        <f t="shared" si="385"/>
        <v>190.5</v>
      </c>
      <c r="AC139" s="15">
        <f t="shared" si="386"/>
        <v>647.7</v>
      </c>
      <c r="AD139" s="15">
        <f t="shared" si="387"/>
        <v>60.96</v>
      </c>
      <c r="AE139" s="15">
        <f t="shared" si="388"/>
        <v>38.1</v>
      </c>
      <c r="AF139" s="281">
        <f t="shared" si="389"/>
        <v>15.24</v>
      </c>
      <c r="AG139" s="280">
        <f t="shared" si="390"/>
        <v>5397.5</v>
      </c>
      <c r="AH139" s="15">
        <f t="shared" si="391"/>
        <v>952.5</v>
      </c>
      <c r="AI139" s="15">
        <f t="shared" si="392"/>
        <v>190.5</v>
      </c>
      <c r="AJ139" s="15">
        <f t="shared" si="393"/>
        <v>647.7</v>
      </c>
      <c r="AK139" s="49"/>
      <c r="AL139" s="15">
        <f t="shared" si="394"/>
        <v>60.96</v>
      </c>
      <c r="AM139" s="49"/>
      <c r="AN139" s="15">
        <f t="shared" si="395"/>
        <v>38.1</v>
      </c>
      <c r="AO139" s="49"/>
      <c r="AP139" s="15">
        <f t="shared" si="396"/>
        <v>15.24</v>
      </c>
      <c r="AQ139" s="316"/>
    </row>
    <row r="140" spans="1:43">
      <c r="A140" s="280" t="str">
        <f>'18年合同登记表'!F179</f>
        <v>古文化广场</v>
      </c>
      <c r="B140" s="15" t="e">
        <f>'18年合同登记表'!#REF!</f>
        <v>#REF!</v>
      </c>
      <c r="C140" s="281">
        <f>'18年合同登记表'!K179</f>
        <v>43818</v>
      </c>
      <c r="D140" s="281" t="str">
        <f>'18年合同登记表'!L179</f>
        <v>赵兴华</v>
      </c>
      <c r="E140" s="282"/>
      <c r="F140" s="3"/>
      <c r="G140" s="3"/>
      <c r="H140" s="3"/>
      <c r="I140" s="3"/>
      <c r="J140" s="3"/>
      <c r="K140" s="15" t="e">
        <f t="shared" si="735"/>
        <v>#VALUE!</v>
      </c>
      <c r="L140" s="289" t="e">
        <f t="shared" si="380"/>
        <v>#VALUE!</v>
      </c>
      <c r="M140" s="282"/>
      <c r="N140" s="3"/>
      <c r="O140" s="3"/>
      <c r="P140" s="3"/>
      <c r="Q140" s="3"/>
      <c r="R140" s="3"/>
      <c r="S140" s="3"/>
      <c r="T140" s="3"/>
      <c r="U140" s="3">
        <v>0</v>
      </c>
      <c r="V140" s="3">
        <f>'18年合同登记表'!Q179</f>
        <v>17500</v>
      </c>
      <c r="W140" s="297">
        <f>'18年合同登记表'!R179</f>
        <v>0.5</v>
      </c>
      <c r="X140" s="15" t="e">
        <f t="shared" si="736"/>
        <v>#VALUE!</v>
      </c>
      <c r="Y140" s="289" t="e">
        <f t="shared" si="382"/>
        <v>#VALUE!</v>
      </c>
      <c r="Z140" s="280" t="e">
        <f t="shared" si="383"/>
        <v>#VALUE!</v>
      </c>
      <c r="AA140" s="15" t="e">
        <f t="shared" si="384"/>
        <v>#VALUE!</v>
      </c>
      <c r="AB140" s="15" t="e">
        <f t="shared" si="385"/>
        <v>#VALUE!</v>
      </c>
      <c r="AC140" s="15" t="e">
        <f t="shared" si="386"/>
        <v>#VALUE!</v>
      </c>
      <c r="AD140" s="15" t="e">
        <f t="shared" si="387"/>
        <v>#VALUE!</v>
      </c>
      <c r="AE140" s="15" t="e">
        <f t="shared" si="388"/>
        <v>#VALUE!</v>
      </c>
      <c r="AF140" s="281" t="e">
        <f t="shared" si="389"/>
        <v>#VALUE!</v>
      </c>
      <c r="AG140" s="280" t="e">
        <f t="shared" si="390"/>
        <v>#VALUE!</v>
      </c>
      <c r="AH140" s="15" t="e">
        <f t="shared" si="391"/>
        <v>#VALUE!</v>
      </c>
      <c r="AI140" s="15" t="e">
        <f t="shared" si="392"/>
        <v>#VALUE!</v>
      </c>
      <c r="AJ140" s="15" t="e">
        <f t="shared" si="393"/>
        <v>#VALUE!</v>
      </c>
      <c r="AK140" s="49"/>
      <c r="AL140" s="15" t="e">
        <f t="shared" si="394"/>
        <v>#VALUE!</v>
      </c>
      <c r="AM140" s="49"/>
      <c r="AN140" s="15" t="e">
        <f t="shared" si="395"/>
        <v>#VALUE!</v>
      </c>
      <c r="AO140" s="49"/>
      <c r="AP140" s="15" t="e">
        <f t="shared" si="396"/>
        <v>#VALUE!</v>
      </c>
      <c r="AQ140" s="316"/>
    </row>
    <row r="141" spans="1:43">
      <c r="A141" s="280" t="str">
        <f>'18年合同登记表'!F180</f>
        <v>京蒙蒙大厦</v>
      </c>
      <c r="B141" s="15" t="str">
        <f>'18年合同登记表'!I180</f>
        <v>直燃机采暖器清洗</v>
      </c>
      <c r="C141" s="281" t="str">
        <f>'18年合同登记表'!L180</f>
        <v>王东</v>
      </c>
      <c r="D141" s="281">
        <f>'18年合同登记表'!M180</f>
        <v>4200</v>
      </c>
      <c r="E141" s="282"/>
      <c r="F141" s="3"/>
      <c r="G141" s="3"/>
      <c r="H141" s="3"/>
      <c r="I141" s="3"/>
      <c r="J141" s="3"/>
      <c r="K141" s="15">
        <f t="shared" si="735"/>
        <v>4200</v>
      </c>
      <c r="L141" s="289">
        <f t="shared" si="380"/>
        <v>1</v>
      </c>
      <c r="M141" s="282"/>
      <c r="N141" s="3"/>
      <c r="O141" s="3"/>
      <c r="P141" s="3"/>
      <c r="Q141" s="3"/>
      <c r="R141" s="3"/>
      <c r="S141" s="3"/>
      <c r="T141" s="3"/>
      <c r="U141" s="3">
        <v>0</v>
      </c>
      <c r="V141" s="3">
        <f>'18年合同登记表'!Q180</f>
        <v>4200</v>
      </c>
      <c r="W141" s="297">
        <f>'18年合同登记表'!R180</f>
        <v>1</v>
      </c>
      <c r="X141" s="15">
        <f t="shared" si="736"/>
        <v>4200</v>
      </c>
      <c r="Y141" s="289">
        <f t="shared" si="382"/>
        <v>1</v>
      </c>
      <c r="Z141" s="280">
        <f t="shared" si="383"/>
        <v>3570</v>
      </c>
      <c r="AA141" s="15">
        <f t="shared" si="384"/>
        <v>630</v>
      </c>
      <c r="AB141" s="15">
        <f t="shared" si="385"/>
        <v>126</v>
      </c>
      <c r="AC141" s="15">
        <f t="shared" si="386"/>
        <v>428.4</v>
      </c>
      <c r="AD141" s="15">
        <f t="shared" si="387"/>
        <v>40.32</v>
      </c>
      <c r="AE141" s="15">
        <f t="shared" si="388"/>
        <v>25.2</v>
      </c>
      <c r="AF141" s="281">
        <f t="shared" si="389"/>
        <v>10.08</v>
      </c>
      <c r="AG141" s="280">
        <f t="shared" si="390"/>
        <v>3570</v>
      </c>
      <c r="AH141" s="15">
        <f t="shared" si="391"/>
        <v>630</v>
      </c>
      <c r="AI141" s="15">
        <f t="shared" si="392"/>
        <v>126</v>
      </c>
      <c r="AJ141" s="15">
        <f t="shared" si="393"/>
        <v>428.4</v>
      </c>
      <c r="AK141" s="49"/>
      <c r="AL141" s="15">
        <f t="shared" si="394"/>
        <v>40.32</v>
      </c>
      <c r="AM141" s="49"/>
      <c r="AN141" s="15">
        <f t="shared" si="395"/>
        <v>25.2</v>
      </c>
      <c r="AO141" s="49"/>
      <c r="AP141" s="15">
        <f t="shared" si="396"/>
        <v>10.08</v>
      </c>
      <c r="AQ141" s="316"/>
    </row>
    <row r="142" spans="1:43">
      <c r="A142" s="285" t="s">
        <v>55</v>
      </c>
      <c r="B142" s="13"/>
      <c r="C142" s="286"/>
      <c r="D142" s="286">
        <f>'18年合同登记表'!M181</f>
        <v>1721866</v>
      </c>
      <c r="E142" s="13">
        <f t="shared" ref="E142" si="737">SUM(E134:E141)</f>
        <v>0</v>
      </c>
      <c r="F142" s="13">
        <f t="shared" ref="F142" si="738">SUM(F134:F141)</f>
        <v>0</v>
      </c>
      <c r="G142" s="13">
        <f t="shared" ref="G142" si="739">SUM(G134:G141)</f>
        <v>0</v>
      </c>
      <c r="H142" s="13">
        <f t="shared" ref="H142" si="740">SUM(H134:H141)</f>
        <v>0</v>
      </c>
      <c r="I142" s="13">
        <f t="shared" ref="I142" si="741">SUM(I134:I141)</f>
        <v>0</v>
      </c>
      <c r="J142" s="13">
        <f t="shared" ref="J142:K142" si="742">SUM(J134:J141)</f>
        <v>0</v>
      </c>
      <c r="K142" s="13" t="e">
        <f t="shared" si="742"/>
        <v>#VALUE!</v>
      </c>
      <c r="L142" s="290" t="e">
        <f t="shared" si="380"/>
        <v>#VALUE!</v>
      </c>
      <c r="M142" s="13">
        <f t="shared" ref="M142" si="743">SUM(M134:M141)</f>
        <v>0</v>
      </c>
      <c r="N142" s="13">
        <f t="shared" ref="N142" si="744">SUM(N134:N141)</f>
        <v>0</v>
      </c>
      <c r="O142" s="13">
        <f t="shared" ref="O142" si="745">SUM(O134:O141)</f>
        <v>0</v>
      </c>
      <c r="P142" s="13">
        <f t="shared" ref="P142" si="746">SUM(P134:P141)</f>
        <v>0</v>
      </c>
      <c r="Q142" s="13">
        <f t="shared" ref="Q142" si="747">SUM(Q134:Q141)</f>
        <v>0</v>
      </c>
      <c r="R142" s="13">
        <f t="shared" ref="R142" si="748">SUM(R134:R141)</f>
        <v>0</v>
      </c>
      <c r="S142" s="13">
        <f t="shared" ref="S142" si="749">SUM(S134:S141)</f>
        <v>0</v>
      </c>
      <c r="T142" s="13">
        <f t="shared" ref="T142" si="750">SUM(T134:T141)</f>
        <v>0</v>
      </c>
      <c r="U142" s="13">
        <f t="shared" ref="U142:V142" si="751">SUM(U134:U141)</f>
        <v>0</v>
      </c>
      <c r="V142" s="13">
        <f t="shared" si="751"/>
        <v>88366</v>
      </c>
      <c r="W142" s="298">
        <f>'18年合同登记表'!R181</f>
        <v>0.0513199052655665</v>
      </c>
      <c r="X142" s="13" t="e">
        <f>SUM(X134:X141)</f>
        <v>#VALUE!</v>
      </c>
      <c r="Y142" s="290" t="e">
        <f t="shared" si="382"/>
        <v>#VALUE!</v>
      </c>
      <c r="Z142" s="13" t="e">
        <f t="shared" ref="Z142" si="752">SUM(Z134:Z141)</f>
        <v>#VALUE!</v>
      </c>
      <c r="AA142" s="13" t="e">
        <f t="shared" ref="AA142" si="753">SUM(AA134:AA141)</f>
        <v>#VALUE!</v>
      </c>
      <c r="AB142" s="13" t="e">
        <f t="shared" ref="AB142" si="754">SUM(AB134:AB141)</f>
        <v>#VALUE!</v>
      </c>
      <c r="AC142" s="13" t="e">
        <f t="shared" ref="AC142" si="755">SUM(AC134:AC141)</f>
        <v>#VALUE!</v>
      </c>
      <c r="AD142" s="13" t="e">
        <f t="shared" ref="AD142" si="756">SUM(AD134:AD141)</f>
        <v>#VALUE!</v>
      </c>
      <c r="AE142" s="13" t="e">
        <f t="shared" ref="AE142" si="757">SUM(AE134:AE141)</f>
        <v>#VALUE!</v>
      </c>
      <c r="AF142" s="13" t="e">
        <f t="shared" ref="AF142" si="758">SUM(AF134:AF141)</f>
        <v>#VALUE!</v>
      </c>
      <c r="AG142" s="13" t="e">
        <f t="shared" ref="AG142" si="759">SUM(AG134:AG141)</f>
        <v>#VALUE!</v>
      </c>
      <c r="AH142" s="13" t="e">
        <f t="shared" ref="AH142" si="760">SUM(AH134:AH141)</f>
        <v>#VALUE!</v>
      </c>
      <c r="AI142" s="13" t="e">
        <f t="shared" ref="AI142" si="761">SUM(AI134:AI141)</f>
        <v>#VALUE!</v>
      </c>
      <c r="AJ142" s="13" t="e">
        <f t="shared" ref="AJ142" si="762">SUM(AJ134:AJ141)</f>
        <v>#VALUE!</v>
      </c>
      <c r="AK142" s="13">
        <f t="shared" ref="AK142" si="763">SUM(AK134:AK141)</f>
        <v>0</v>
      </c>
      <c r="AL142" s="13" t="e">
        <f t="shared" ref="AL142" si="764">SUM(AL134:AL141)</f>
        <v>#VALUE!</v>
      </c>
      <c r="AM142" s="13">
        <f t="shared" ref="AM142" si="765">SUM(AM134:AM141)</f>
        <v>0</v>
      </c>
      <c r="AN142" s="13" t="e">
        <f t="shared" ref="AN142" si="766">SUM(AN134:AN141)</f>
        <v>#VALUE!</v>
      </c>
      <c r="AO142" s="13">
        <f t="shared" ref="AO142" si="767">SUM(AO134:AO141)</f>
        <v>0</v>
      </c>
      <c r="AP142" s="13" t="e">
        <f t="shared" ref="AP142" si="768">SUM(AP134:AP141)</f>
        <v>#VALUE!</v>
      </c>
      <c r="AQ142" s="13">
        <f t="shared" ref="AQ142" si="769">SUM(AQ134:AQ141)</f>
        <v>0</v>
      </c>
    </row>
    <row r="143" spans="1:43">
      <c r="A143" s="285" t="s">
        <v>56</v>
      </c>
      <c r="B143" s="13"/>
      <c r="C143" s="286"/>
      <c r="D143" s="286">
        <f>'18年合同登记表'!M182</f>
        <v>20266923.41</v>
      </c>
      <c r="E143" s="13">
        <f t="shared" ref="E143" si="770">E133+E142</f>
        <v>97470</v>
      </c>
      <c r="F143" s="13">
        <f t="shared" ref="F143" si="771">F133+F142</f>
        <v>509816</v>
      </c>
      <c r="G143" s="13">
        <f t="shared" ref="G143" si="772">G133+G142</f>
        <v>130076.3</v>
      </c>
      <c r="H143" s="13">
        <f t="shared" ref="H143" si="773">H133+H142</f>
        <v>134561</v>
      </c>
      <c r="I143" s="13">
        <f t="shared" ref="I143" si="774">I133+I142</f>
        <v>66251</v>
      </c>
      <c r="J143" s="13">
        <f t="shared" ref="J143:K143" si="775">J133+J142</f>
        <v>13577</v>
      </c>
      <c r="K143" s="13" t="e">
        <f t="shared" si="775"/>
        <v>#REF!</v>
      </c>
      <c r="L143" s="290" t="e">
        <f t="shared" si="380"/>
        <v>#REF!</v>
      </c>
      <c r="M143" s="13">
        <f t="shared" ref="M143" si="776">M133+M142</f>
        <v>330</v>
      </c>
      <c r="N143" s="13">
        <f t="shared" ref="N143" si="777">N133+N142</f>
        <v>5495</v>
      </c>
      <c r="O143" s="13">
        <f t="shared" ref="O143" si="778">O133+O142</f>
        <v>2620.2</v>
      </c>
      <c r="P143" s="13">
        <f t="shared" ref="P143" si="779">P133+P142</f>
        <v>5000</v>
      </c>
      <c r="Q143" s="13">
        <f t="shared" ref="Q143" si="780">Q133+Q142</f>
        <v>1650</v>
      </c>
      <c r="R143" s="13">
        <f t="shared" ref="R143" si="781">R133+R142</f>
        <v>330</v>
      </c>
      <c r="S143" s="13">
        <f t="shared" ref="S143" si="782">S133+S142</f>
        <v>0</v>
      </c>
      <c r="T143" s="13">
        <f t="shared" ref="T143" si="783">T133+T142</f>
        <v>0</v>
      </c>
      <c r="U143" s="13">
        <f t="shared" ref="U143:V143" si="784">U133+U142</f>
        <v>0</v>
      </c>
      <c r="V143" s="13" t="e">
        <f t="shared" si="784"/>
        <v>#REF!</v>
      </c>
      <c r="W143" s="298">
        <f>'18年合同登记表'!R182</f>
        <v>0.390018203557222</v>
      </c>
      <c r="X143" s="13" t="e">
        <f>X133+X142</f>
        <v>#REF!</v>
      </c>
      <c r="Y143" s="290" t="e">
        <f t="shared" si="382"/>
        <v>#REF!</v>
      </c>
      <c r="Z143" s="13" t="e">
        <f t="shared" ref="Z143" si="785">Z133+Z142</f>
        <v>#REF!</v>
      </c>
      <c r="AA143" s="13" t="e">
        <f t="shared" ref="AA143" si="786">AA133+AA142</f>
        <v>#REF!</v>
      </c>
      <c r="AB143" s="13" t="e">
        <f t="shared" ref="AB143" si="787">AB133+AB142</f>
        <v>#REF!</v>
      </c>
      <c r="AC143" s="13" t="e">
        <f t="shared" ref="AC143" si="788">AC133+AC142</f>
        <v>#REF!</v>
      </c>
      <c r="AD143" s="13" t="e">
        <f t="shared" ref="AD143" si="789">AD133+AD142</f>
        <v>#REF!</v>
      </c>
      <c r="AE143" s="13" t="e">
        <f t="shared" ref="AE143" si="790">AE133+AE142</f>
        <v>#REF!</v>
      </c>
      <c r="AF143" s="13" t="e">
        <f t="shared" ref="AF143" si="791">AF133+AF142</f>
        <v>#REF!</v>
      </c>
      <c r="AG143" s="13" t="e">
        <f t="shared" ref="AG143" si="792">AG133+AG142</f>
        <v>#REF!</v>
      </c>
      <c r="AH143" s="13" t="e">
        <f t="shared" ref="AH143" si="793">AH133+AH142</f>
        <v>#REF!</v>
      </c>
      <c r="AI143" s="13" t="e">
        <f t="shared" ref="AI143" si="794">AI133+AI142</f>
        <v>#REF!</v>
      </c>
      <c r="AJ143" s="13" t="e">
        <f t="shared" ref="AJ143" si="795">AJ133+AJ142</f>
        <v>#REF!</v>
      </c>
      <c r="AK143" s="13">
        <f t="shared" ref="AK143" si="796">AK133+AK142</f>
        <v>0</v>
      </c>
      <c r="AL143" s="13" t="e">
        <f t="shared" ref="AL143" si="797">AL133+AL142</f>
        <v>#REF!</v>
      </c>
      <c r="AM143" s="13">
        <f t="shared" ref="AM143" si="798">AM133+AM142</f>
        <v>0</v>
      </c>
      <c r="AN143" s="13" t="e">
        <f t="shared" ref="AN143" si="799">AN133+AN142</f>
        <v>#REF!</v>
      </c>
      <c r="AO143" s="13">
        <f t="shared" ref="AO143" si="800">AO133+AO142</f>
        <v>0</v>
      </c>
      <c r="AP143" s="13" t="e">
        <f t="shared" ref="AP143" si="801">AP133+AP142</f>
        <v>#REF!</v>
      </c>
      <c r="AQ143" s="13">
        <f t="shared" ref="AQ143" si="802">AQ133+AQ142</f>
        <v>0</v>
      </c>
    </row>
    <row r="144" ht="14.25" spans="1:43">
      <c r="A144" s="317" t="s">
        <v>57</v>
      </c>
      <c r="B144" s="318"/>
      <c r="C144" s="319"/>
      <c r="D144" s="281">
        <f>D143</f>
        <v>20266923.41</v>
      </c>
      <c r="E144" s="319">
        <f>E143</f>
        <v>97470</v>
      </c>
      <c r="F144" s="319">
        <f t="shared" ref="F144:K144" si="803">F143</f>
        <v>509816</v>
      </c>
      <c r="G144" s="319">
        <f t="shared" si="803"/>
        <v>130076.3</v>
      </c>
      <c r="H144" s="319">
        <f t="shared" si="803"/>
        <v>134561</v>
      </c>
      <c r="I144" s="319">
        <f t="shared" si="803"/>
        <v>66251</v>
      </c>
      <c r="J144" s="319">
        <f t="shared" si="803"/>
        <v>13577</v>
      </c>
      <c r="K144" s="15" t="e">
        <f t="shared" si="803"/>
        <v>#REF!</v>
      </c>
      <c r="L144" s="289" t="e">
        <f t="shared" si="380"/>
        <v>#REF!</v>
      </c>
      <c r="M144" s="319">
        <f t="shared" ref="M144" si="804">M143</f>
        <v>330</v>
      </c>
      <c r="N144" s="319">
        <f t="shared" ref="N144" si="805">N143</f>
        <v>5495</v>
      </c>
      <c r="O144" s="319">
        <f t="shared" ref="O144" si="806">O143</f>
        <v>2620.2</v>
      </c>
      <c r="P144" s="319">
        <f t="shared" ref="P144" si="807">P143</f>
        <v>5000</v>
      </c>
      <c r="Q144" s="319">
        <f t="shared" ref="Q144" si="808">Q143</f>
        <v>1650</v>
      </c>
      <c r="R144" s="319">
        <f t="shared" ref="R144" si="809">R143</f>
        <v>330</v>
      </c>
      <c r="S144" s="319">
        <f t="shared" ref="S144" si="810">S143</f>
        <v>0</v>
      </c>
      <c r="T144" s="319">
        <f t="shared" ref="T144" si="811">T143</f>
        <v>0</v>
      </c>
      <c r="U144" s="319">
        <f t="shared" ref="U144" si="812">U143</f>
        <v>0</v>
      </c>
      <c r="V144" s="319" t="e">
        <f t="shared" ref="V144" si="813">V143</f>
        <v>#REF!</v>
      </c>
      <c r="W144" s="319">
        <f t="shared" ref="W144" si="814">W143</f>
        <v>0.390018203557222</v>
      </c>
      <c r="X144" s="319" t="e">
        <f t="shared" ref="X144" si="815">X143</f>
        <v>#REF!</v>
      </c>
      <c r="Y144" s="319" t="e">
        <f t="shared" ref="Y144" si="816">Y143</f>
        <v>#REF!</v>
      </c>
      <c r="Z144" s="319" t="e">
        <f t="shared" ref="Z144" si="817">Z143</f>
        <v>#REF!</v>
      </c>
      <c r="AA144" s="319" t="e">
        <f t="shared" ref="AA144" si="818">AA143</f>
        <v>#REF!</v>
      </c>
      <c r="AB144" s="319" t="e">
        <f t="shared" ref="AB144" si="819">AB143</f>
        <v>#REF!</v>
      </c>
      <c r="AC144" s="319" t="e">
        <f t="shared" ref="AC144" si="820">AC143</f>
        <v>#REF!</v>
      </c>
      <c r="AD144" s="319" t="e">
        <f t="shared" ref="AD144" si="821">AD143</f>
        <v>#REF!</v>
      </c>
      <c r="AE144" s="319" t="e">
        <f t="shared" ref="AE144" si="822">AE143</f>
        <v>#REF!</v>
      </c>
      <c r="AF144" s="319" t="e">
        <f t="shared" ref="AF144" si="823">AF143</f>
        <v>#REF!</v>
      </c>
      <c r="AG144" s="319" t="e">
        <f t="shared" ref="AG144" si="824">AG143</f>
        <v>#REF!</v>
      </c>
      <c r="AH144" s="319" t="e">
        <f t="shared" ref="AH144" si="825">AH143</f>
        <v>#REF!</v>
      </c>
      <c r="AI144" s="319" t="e">
        <f t="shared" ref="AI144" si="826">AI143</f>
        <v>#REF!</v>
      </c>
      <c r="AJ144" s="319" t="e">
        <f t="shared" ref="AJ144" si="827">AJ143</f>
        <v>#REF!</v>
      </c>
      <c r="AK144" s="319">
        <f t="shared" ref="AK144" si="828">AK143</f>
        <v>0</v>
      </c>
      <c r="AL144" s="319" t="e">
        <f t="shared" ref="AL144" si="829">AL143</f>
        <v>#REF!</v>
      </c>
      <c r="AM144" s="319">
        <f t="shared" ref="AM144" si="830">AM143</f>
        <v>0</v>
      </c>
      <c r="AN144" s="319" t="e">
        <f t="shared" ref="AN144" si="831">AN143</f>
        <v>#REF!</v>
      </c>
      <c r="AO144" s="319">
        <f t="shared" ref="AO144" si="832">AO143</f>
        <v>0</v>
      </c>
      <c r="AP144" s="319" t="e">
        <f t="shared" ref="AP144" si="833">AP143</f>
        <v>#REF!</v>
      </c>
      <c r="AQ144" s="319">
        <f t="shared" ref="AQ144" si="834">AQ143</f>
        <v>0</v>
      </c>
    </row>
  </sheetData>
  <autoFilter ref="A1:AQ144">
    <extLst/>
  </autoFilter>
  <mergeCells count="51">
    <mergeCell ref="A1:D1"/>
    <mergeCell ref="E1:L1"/>
    <mergeCell ref="M1:Y1"/>
    <mergeCell ref="Z1:AF1"/>
    <mergeCell ref="AG1:AQ1"/>
    <mergeCell ref="AC2:AF2"/>
    <mergeCell ref="AJ2:AQ2"/>
    <mergeCell ref="AD3:AF3"/>
    <mergeCell ref="AJ3:AK3"/>
    <mergeCell ref="AL3:AQ3"/>
    <mergeCell ref="AL4:AM4"/>
    <mergeCell ref="AN4:AO4"/>
    <mergeCell ref="AP4:AQ4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N2:N5"/>
    <mergeCell ref="O2:O5"/>
    <mergeCell ref="P2:P5"/>
    <mergeCell ref="Q2:Q5"/>
    <mergeCell ref="R2:R5"/>
    <mergeCell ref="S4:S5"/>
    <mergeCell ref="T4:T5"/>
    <mergeCell ref="U2:U5"/>
    <mergeCell ref="V2:V5"/>
    <mergeCell ref="W2:W5"/>
    <mergeCell ref="X2:X5"/>
    <mergeCell ref="Y2:Y5"/>
    <mergeCell ref="Z2:Z5"/>
    <mergeCell ref="AA2:AA5"/>
    <mergeCell ref="AB2:AB5"/>
    <mergeCell ref="AC3:AC5"/>
    <mergeCell ref="AD4:AD5"/>
    <mergeCell ref="AE4:AE5"/>
    <mergeCell ref="AF4:AF5"/>
    <mergeCell ref="AG2:AG5"/>
    <mergeCell ref="AH2:AH5"/>
    <mergeCell ref="AI2:AI5"/>
    <mergeCell ref="AJ4:AJ5"/>
    <mergeCell ref="AK4:AK5"/>
    <mergeCell ref="S2:T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184"/>
  <sheetViews>
    <sheetView tabSelected="1" workbookViewId="0">
      <pane xSplit="1" ySplit="5" topLeftCell="B129" activePane="bottomRight" state="frozen"/>
      <selection/>
      <selection pane="topRight"/>
      <selection pane="bottomLeft"/>
      <selection pane="bottomRight" activeCell="G188" sqref="G188"/>
    </sheetView>
  </sheetViews>
  <sheetFormatPr defaultColWidth="9" defaultRowHeight="11.25"/>
  <cols>
    <col min="1" max="1" width="6.375" style="145" customWidth="1"/>
    <col min="2" max="2" width="9" style="145"/>
    <col min="3" max="3" width="11.125" style="145" customWidth="1"/>
    <col min="4" max="4" width="7.5" style="145" customWidth="1"/>
    <col min="5" max="5" width="8.375" style="146" customWidth="1"/>
    <col min="6" max="6" width="9" style="145"/>
    <col min="7" max="7" width="11.125" style="145" customWidth="1"/>
    <col min="8" max="8" width="13.25" style="145" customWidth="1"/>
    <col min="9" max="9" width="9" style="145"/>
    <col min="10" max="10" width="10.375" style="145"/>
    <col min="11" max="11" width="12.125" style="145"/>
    <col min="12" max="12" width="9" style="145"/>
    <col min="13" max="13" width="9.625" style="146"/>
    <col min="14" max="14" width="23.875" style="145" customWidth="1"/>
    <col min="15" max="16384" width="9" style="145"/>
  </cols>
  <sheetData>
    <row r="1" spans="2:8">
      <c r="B1" s="147"/>
      <c r="G1" s="141"/>
      <c r="H1" s="145" t="s">
        <v>58</v>
      </c>
    </row>
    <row r="2" s="137" customFormat="1" spans="2:18">
      <c r="B2" s="148" t="s">
        <v>59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="137" customFormat="1" ht="12" spans="2:18">
      <c r="B3" s="148" t="s">
        <v>60</v>
      </c>
      <c r="C3" s="149" t="s">
        <v>61</v>
      </c>
      <c r="D3" s="149"/>
      <c r="E3" s="148"/>
      <c r="M3" s="148"/>
      <c r="O3" s="148"/>
      <c r="P3" s="148"/>
      <c r="Q3" s="148"/>
      <c r="R3" s="148"/>
    </row>
    <row r="4" s="137" customFormat="1" spans="1:67">
      <c r="A4" s="150" t="s">
        <v>62</v>
      </c>
      <c r="B4" s="151" t="s">
        <v>63</v>
      </c>
      <c r="C4" s="151" t="s">
        <v>64</v>
      </c>
      <c r="D4" s="152" t="s">
        <v>65</v>
      </c>
      <c r="E4" s="152" t="s">
        <v>66</v>
      </c>
      <c r="F4" s="151" t="s">
        <v>67</v>
      </c>
      <c r="G4" s="151" t="s">
        <v>68</v>
      </c>
      <c r="H4" s="151" t="s">
        <v>69</v>
      </c>
      <c r="I4" s="151" t="s">
        <v>6</v>
      </c>
      <c r="J4" s="151" t="s">
        <v>70</v>
      </c>
      <c r="K4" s="151" t="s">
        <v>71</v>
      </c>
      <c r="L4" s="151" t="s">
        <v>72</v>
      </c>
      <c r="M4" s="151" t="s">
        <v>73</v>
      </c>
      <c r="N4" s="185" t="s">
        <v>74</v>
      </c>
      <c r="O4" s="186" t="s">
        <v>75</v>
      </c>
      <c r="P4" s="187"/>
      <c r="Q4" s="187" t="s">
        <v>76</v>
      </c>
      <c r="R4" s="217"/>
      <c r="S4" s="218">
        <v>43101</v>
      </c>
      <c r="T4" s="219"/>
      <c r="U4" s="220">
        <v>43132</v>
      </c>
      <c r="V4" s="219"/>
      <c r="W4" s="220">
        <v>43160</v>
      </c>
      <c r="X4" s="219"/>
      <c r="Y4" s="220">
        <v>43191</v>
      </c>
      <c r="Z4" s="219"/>
      <c r="AA4" s="220">
        <v>43221</v>
      </c>
      <c r="AB4" s="219"/>
      <c r="AC4" s="220">
        <v>43252</v>
      </c>
      <c r="AD4" s="219"/>
      <c r="AE4" s="220">
        <v>43282</v>
      </c>
      <c r="AF4" s="219"/>
      <c r="AG4" s="220">
        <v>43313</v>
      </c>
      <c r="AH4" s="219"/>
      <c r="AI4" s="220">
        <v>43344</v>
      </c>
      <c r="AJ4" s="219"/>
      <c r="AK4" s="220">
        <v>43374</v>
      </c>
      <c r="AL4" s="219"/>
      <c r="AM4" s="220">
        <v>43405</v>
      </c>
      <c r="AN4" s="219"/>
      <c r="AO4" s="220">
        <v>43435</v>
      </c>
      <c r="AP4" s="219"/>
      <c r="AQ4" s="220">
        <v>43466</v>
      </c>
      <c r="AR4" s="219"/>
      <c r="AS4" s="220">
        <v>43497</v>
      </c>
      <c r="AT4" s="219"/>
      <c r="AU4" s="220">
        <v>43525</v>
      </c>
      <c r="AV4" s="219"/>
      <c r="AW4" s="220">
        <v>43556</v>
      </c>
      <c r="AX4" s="219"/>
      <c r="AY4" s="220">
        <v>43586</v>
      </c>
      <c r="AZ4" s="219"/>
      <c r="BA4" s="220">
        <v>43617</v>
      </c>
      <c r="BB4" s="219"/>
      <c r="BC4" s="220">
        <v>43647</v>
      </c>
      <c r="BD4" s="219"/>
      <c r="BE4" s="220">
        <v>43678</v>
      </c>
      <c r="BF4" s="219"/>
      <c r="BG4" s="220">
        <v>43709</v>
      </c>
      <c r="BH4" s="219"/>
      <c r="BI4" s="220">
        <v>43739</v>
      </c>
      <c r="BJ4" s="219"/>
      <c r="BK4" s="220">
        <v>43770</v>
      </c>
      <c r="BL4" s="219"/>
      <c r="BM4" s="220">
        <v>43800</v>
      </c>
      <c r="BN4" s="219"/>
      <c r="BO4" s="241"/>
    </row>
    <row r="5" s="137" customFormat="1" spans="1:67">
      <c r="A5" s="153"/>
      <c r="B5" s="154"/>
      <c r="C5" s="154"/>
      <c r="D5" s="155"/>
      <c r="E5" s="155"/>
      <c r="F5" s="154"/>
      <c r="G5" s="154"/>
      <c r="H5" s="154"/>
      <c r="I5" s="154"/>
      <c r="J5" s="154"/>
      <c r="K5" s="154"/>
      <c r="L5" s="154"/>
      <c r="M5" s="154"/>
      <c r="N5" s="188" t="s">
        <v>77</v>
      </c>
      <c r="O5" s="189" t="s">
        <v>78</v>
      </c>
      <c r="P5" s="190" t="s">
        <v>79</v>
      </c>
      <c r="Q5" s="190" t="s">
        <v>19</v>
      </c>
      <c r="R5" s="221" t="s">
        <v>80</v>
      </c>
      <c r="S5" s="222" t="s">
        <v>78</v>
      </c>
      <c r="T5" s="223" t="s">
        <v>19</v>
      </c>
      <c r="U5" s="223" t="s">
        <v>78</v>
      </c>
      <c r="V5" s="223" t="s">
        <v>19</v>
      </c>
      <c r="W5" s="223" t="s">
        <v>78</v>
      </c>
      <c r="X5" s="223" t="s">
        <v>19</v>
      </c>
      <c r="Y5" s="223" t="s">
        <v>78</v>
      </c>
      <c r="Z5" s="223" t="s">
        <v>19</v>
      </c>
      <c r="AA5" s="223" t="s">
        <v>78</v>
      </c>
      <c r="AB5" s="223" t="s">
        <v>19</v>
      </c>
      <c r="AC5" s="223" t="s">
        <v>78</v>
      </c>
      <c r="AD5" s="223" t="s">
        <v>19</v>
      </c>
      <c r="AE5" s="223" t="s">
        <v>78</v>
      </c>
      <c r="AF5" s="223" t="s">
        <v>19</v>
      </c>
      <c r="AG5" s="223" t="s">
        <v>78</v>
      </c>
      <c r="AH5" s="223" t="s">
        <v>19</v>
      </c>
      <c r="AI5" s="223" t="s">
        <v>78</v>
      </c>
      <c r="AJ5" s="223" t="s">
        <v>19</v>
      </c>
      <c r="AK5" s="223" t="s">
        <v>78</v>
      </c>
      <c r="AL5" s="223" t="s">
        <v>19</v>
      </c>
      <c r="AM5" s="223" t="s">
        <v>78</v>
      </c>
      <c r="AN5" s="223" t="s">
        <v>19</v>
      </c>
      <c r="AO5" s="223" t="s">
        <v>78</v>
      </c>
      <c r="AP5" s="223" t="s">
        <v>19</v>
      </c>
      <c r="AQ5" s="223" t="s">
        <v>78</v>
      </c>
      <c r="AR5" s="223" t="s">
        <v>19</v>
      </c>
      <c r="AS5" s="223" t="s">
        <v>78</v>
      </c>
      <c r="AT5" s="223" t="s">
        <v>19</v>
      </c>
      <c r="AU5" s="223" t="s">
        <v>78</v>
      </c>
      <c r="AV5" s="223" t="s">
        <v>19</v>
      </c>
      <c r="AW5" s="223" t="s">
        <v>78</v>
      </c>
      <c r="AX5" s="223" t="s">
        <v>19</v>
      </c>
      <c r="AY5" s="223" t="s">
        <v>78</v>
      </c>
      <c r="AZ5" s="223" t="s">
        <v>19</v>
      </c>
      <c r="BA5" s="223" t="s">
        <v>78</v>
      </c>
      <c r="BB5" s="223" t="s">
        <v>19</v>
      </c>
      <c r="BC5" s="223" t="s">
        <v>78</v>
      </c>
      <c r="BD5" s="223" t="s">
        <v>19</v>
      </c>
      <c r="BE5" s="223" t="s">
        <v>78</v>
      </c>
      <c r="BF5" s="223" t="s">
        <v>19</v>
      </c>
      <c r="BG5" s="223" t="s">
        <v>78</v>
      </c>
      <c r="BH5" s="223" t="s">
        <v>19</v>
      </c>
      <c r="BI5" s="223" t="s">
        <v>78</v>
      </c>
      <c r="BJ5" s="223" t="s">
        <v>19</v>
      </c>
      <c r="BK5" s="223" t="s">
        <v>78</v>
      </c>
      <c r="BL5" s="223" t="s">
        <v>19</v>
      </c>
      <c r="BM5" s="223" t="s">
        <v>78</v>
      </c>
      <c r="BN5" s="223" t="s">
        <v>19</v>
      </c>
      <c r="BO5" s="242"/>
    </row>
    <row r="6" s="138" customFormat="1" ht="33.75" spans="1:67">
      <c r="A6" s="156">
        <v>1</v>
      </c>
      <c r="B6" s="157" t="s">
        <v>81</v>
      </c>
      <c r="C6" s="158" t="s">
        <v>82</v>
      </c>
      <c r="D6" s="158" t="s">
        <v>83</v>
      </c>
      <c r="E6" s="159">
        <v>0</v>
      </c>
      <c r="F6" s="160" t="s">
        <v>84</v>
      </c>
      <c r="G6" s="161" t="s">
        <v>85</v>
      </c>
      <c r="H6" s="162" t="s">
        <v>86</v>
      </c>
      <c r="I6" s="162" t="s">
        <v>87</v>
      </c>
      <c r="J6" s="191">
        <v>43101</v>
      </c>
      <c r="K6" s="191">
        <v>43465</v>
      </c>
      <c r="L6" s="160" t="s">
        <v>88</v>
      </c>
      <c r="M6" s="162">
        <v>33000</v>
      </c>
      <c r="N6" s="192" t="s">
        <v>89</v>
      </c>
      <c r="O6" s="193">
        <f>S6+U6+W6+Y6+AA6+AC6+AE6+AG6+AI6+AK6+AM6+AO6+AQ6+AS6+AU6+AW6+AY6+BA6+BC6+BE6+BG6+BI6+BK6+BM6</f>
        <v>33000</v>
      </c>
      <c r="P6" s="194">
        <f>O6/M6</f>
        <v>1</v>
      </c>
      <c r="Q6" s="224">
        <f>T6+V6+X6+Z6+AB6+AD6+AF6+AH6+AJ6+AL6+AN6+AP6+AR6+AT6+AV6+AX6+AZ6+BB6+BD6+BF6+BH6+BJ6+BL6+BN6</f>
        <v>33000</v>
      </c>
      <c r="R6" s="225">
        <f>Q6/M6</f>
        <v>1</v>
      </c>
      <c r="S6" s="226">
        <v>33000</v>
      </c>
      <c r="T6" s="160">
        <v>16500</v>
      </c>
      <c r="U6" s="160"/>
      <c r="V6" s="160">
        <v>13200</v>
      </c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>
        <v>3300</v>
      </c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</row>
    <row r="7" s="138" customFormat="1" spans="1:67">
      <c r="A7" s="156">
        <v>2</v>
      </c>
      <c r="B7" s="163" t="s">
        <v>90</v>
      </c>
      <c r="C7" s="160" t="s">
        <v>91</v>
      </c>
      <c r="D7" s="160"/>
      <c r="E7" s="162"/>
      <c r="F7" s="164" t="s">
        <v>92</v>
      </c>
      <c r="G7" s="164" t="s">
        <v>93</v>
      </c>
      <c r="H7" s="164" t="s">
        <v>94</v>
      </c>
      <c r="I7" s="164" t="s">
        <v>95</v>
      </c>
      <c r="J7" s="164" t="s">
        <v>96</v>
      </c>
      <c r="K7" s="164" t="s">
        <v>97</v>
      </c>
      <c r="L7" s="160" t="s">
        <v>98</v>
      </c>
      <c r="M7" s="165">
        <v>172746</v>
      </c>
      <c r="N7" s="195" t="s">
        <v>99</v>
      </c>
      <c r="O7" s="193">
        <f>S7+U7+W7+Y7+AA7+AC7+AE7+AG7+AI7+AK7+AM7+AO7+AQ7+AS7+AU7+AW7+AY7+BA7+BC7+BE7+BG7+BI7+BK7+BM7</f>
        <v>172746</v>
      </c>
      <c r="P7" s="194">
        <f>O7/M7</f>
        <v>1</v>
      </c>
      <c r="Q7" s="224">
        <f>T7+V7+X7+Z7+AB7+AD7+AF7+AH7+AJ7+AL7+AN7+AP7+AR7+AT7+AV7+AX7+AZ7+BB7+BD7+BF7+BH7+BJ7+BL7+BN7</f>
        <v>172746</v>
      </c>
      <c r="R7" s="225">
        <f>Q7/M7</f>
        <v>1</v>
      </c>
      <c r="S7" s="226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>
        <v>172746</v>
      </c>
      <c r="AV7" s="160">
        <v>172746</v>
      </c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</row>
    <row r="8" s="138" customFormat="1" spans="1:67">
      <c r="A8" s="156">
        <v>3</v>
      </c>
      <c r="B8" s="163" t="s">
        <v>90</v>
      </c>
      <c r="C8" s="164" t="s">
        <v>100</v>
      </c>
      <c r="D8" s="164"/>
      <c r="E8" s="165"/>
      <c r="F8" s="164" t="s">
        <v>92</v>
      </c>
      <c r="G8" s="164" t="s">
        <v>93</v>
      </c>
      <c r="H8" s="164" t="s">
        <v>101</v>
      </c>
      <c r="I8" s="164" t="s">
        <v>102</v>
      </c>
      <c r="J8" s="164" t="s">
        <v>103</v>
      </c>
      <c r="K8" s="164" t="s">
        <v>104</v>
      </c>
      <c r="L8" s="160" t="s">
        <v>98</v>
      </c>
      <c r="M8" s="165">
        <v>567507</v>
      </c>
      <c r="N8" s="195" t="s">
        <v>105</v>
      </c>
      <c r="O8" s="193">
        <f t="shared" ref="O8:O19" si="0">S8+U8+W8+Y8+AA8+AC8+AE8+AG8+AI8+AK8+AM8+AO8+AQ8+AS8+AU8+AW8+AY8+BA8+BC8+BE8+BG8+BI8+BK8+BM8</f>
        <v>567507</v>
      </c>
      <c r="P8" s="194">
        <f t="shared" ref="P8:P33" si="1">O8/M8</f>
        <v>1</v>
      </c>
      <c r="Q8" s="224">
        <f t="shared" ref="Q8:Q19" si="2">T8+V8+X8+Z8+AB8+AD8+AF8+AH8+AJ8+AL8+AN8+AP8+AR8+AT8+AV8+AX8+AZ8+BB8+BD8+BF8+BH8+BJ8+BL8+BN8</f>
        <v>567507</v>
      </c>
      <c r="R8" s="225">
        <f t="shared" ref="R8:R33" si="3">Q8/M8</f>
        <v>1</v>
      </c>
      <c r="S8" s="226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>
        <v>567507</v>
      </c>
      <c r="AR8" s="160"/>
      <c r="AS8" s="160"/>
      <c r="AT8" s="160"/>
      <c r="AU8" s="160"/>
      <c r="AV8" s="160">
        <v>567507</v>
      </c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</row>
    <row r="9" s="138" customFormat="1" spans="1:67">
      <c r="A9" s="156">
        <v>4</v>
      </c>
      <c r="B9" s="163" t="s">
        <v>90</v>
      </c>
      <c r="C9" s="164" t="s">
        <v>106</v>
      </c>
      <c r="D9" s="164"/>
      <c r="E9" s="165"/>
      <c r="F9" s="164" t="s">
        <v>92</v>
      </c>
      <c r="G9" s="164" t="s">
        <v>93</v>
      </c>
      <c r="H9" s="164" t="s">
        <v>107</v>
      </c>
      <c r="I9" s="164" t="s">
        <v>108</v>
      </c>
      <c r="J9" s="164" t="s">
        <v>109</v>
      </c>
      <c r="K9" s="164" t="s">
        <v>110</v>
      </c>
      <c r="L9" s="160" t="s">
        <v>98</v>
      </c>
      <c r="M9" s="165">
        <v>356700</v>
      </c>
      <c r="N9" s="195" t="s">
        <v>111</v>
      </c>
      <c r="O9" s="193">
        <f t="shared" si="0"/>
        <v>356700</v>
      </c>
      <c r="P9" s="194">
        <f t="shared" si="1"/>
        <v>1</v>
      </c>
      <c r="Q9" s="224">
        <f t="shared" si="2"/>
        <v>356700</v>
      </c>
      <c r="R9" s="225">
        <f t="shared" si="3"/>
        <v>1</v>
      </c>
      <c r="S9" s="226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>
        <v>356700</v>
      </c>
      <c r="AR9" s="160"/>
      <c r="AS9" s="160"/>
      <c r="AT9" s="160"/>
      <c r="AU9" s="160"/>
      <c r="AV9" s="160">
        <v>356700</v>
      </c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</row>
    <row r="10" s="138" customFormat="1" spans="1:67">
      <c r="A10" s="156">
        <v>5</v>
      </c>
      <c r="B10" s="163" t="s">
        <v>90</v>
      </c>
      <c r="C10" s="164" t="s">
        <v>100</v>
      </c>
      <c r="D10" s="164"/>
      <c r="E10" s="165"/>
      <c r="F10" s="164" t="s">
        <v>92</v>
      </c>
      <c r="G10" s="164" t="s">
        <v>93</v>
      </c>
      <c r="H10" s="164" t="s">
        <v>112</v>
      </c>
      <c r="I10" s="164" t="s">
        <v>113</v>
      </c>
      <c r="J10" s="164" t="s">
        <v>109</v>
      </c>
      <c r="K10" s="164" t="s">
        <v>110</v>
      </c>
      <c r="L10" s="160" t="s">
        <v>98</v>
      </c>
      <c r="M10" s="162">
        <v>137000</v>
      </c>
      <c r="N10" s="195" t="s">
        <v>114</v>
      </c>
      <c r="O10" s="193">
        <f t="shared" si="0"/>
        <v>137000</v>
      </c>
      <c r="P10" s="194">
        <f t="shared" si="1"/>
        <v>1</v>
      </c>
      <c r="Q10" s="224">
        <f t="shared" si="2"/>
        <v>137000</v>
      </c>
      <c r="R10" s="225">
        <f t="shared" si="3"/>
        <v>1</v>
      </c>
      <c r="S10" s="226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>
        <v>137000</v>
      </c>
      <c r="AR10" s="160">
        <v>137000</v>
      </c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</row>
    <row r="11" s="138" customFormat="1" ht="43" customHeight="1" spans="1:67">
      <c r="A11" s="156">
        <v>6</v>
      </c>
      <c r="B11" s="157" t="s">
        <v>81</v>
      </c>
      <c r="C11" s="164" t="s">
        <v>82</v>
      </c>
      <c r="D11" s="164" t="s">
        <v>115</v>
      </c>
      <c r="E11" s="165">
        <v>6000</v>
      </c>
      <c r="F11" s="164" t="s">
        <v>116</v>
      </c>
      <c r="G11" s="164" t="s">
        <v>117</v>
      </c>
      <c r="H11" s="164" t="s">
        <v>118</v>
      </c>
      <c r="I11" s="164" t="s">
        <v>119</v>
      </c>
      <c r="J11" s="164" t="s">
        <v>82</v>
      </c>
      <c r="K11" s="164" t="s">
        <v>120</v>
      </c>
      <c r="L11" s="164" t="s">
        <v>121</v>
      </c>
      <c r="M11" s="165">
        <v>30000</v>
      </c>
      <c r="N11" s="196" t="s">
        <v>122</v>
      </c>
      <c r="O11" s="193">
        <f t="shared" si="0"/>
        <v>30000</v>
      </c>
      <c r="P11" s="194">
        <f t="shared" si="1"/>
        <v>1</v>
      </c>
      <c r="Q11" s="224">
        <f t="shared" si="2"/>
        <v>30000</v>
      </c>
      <c r="R11" s="225">
        <f t="shared" si="3"/>
        <v>1</v>
      </c>
      <c r="S11" s="226"/>
      <c r="T11" s="160"/>
      <c r="U11" s="160"/>
      <c r="V11" s="160"/>
      <c r="W11" s="160">
        <v>9000</v>
      </c>
      <c r="X11" s="160">
        <v>9000</v>
      </c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>
        <v>15000</v>
      </c>
      <c r="AN11" s="160">
        <v>15000</v>
      </c>
      <c r="AO11" s="160">
        <v>6000</v>
      </c>
      <c r="AP11" s="160">
        <v>6000</v>
      </c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</row>
    <row r="12" s="138" customFormat="1" spans="1:67">
      <c r="A12" s="156">
        <v>7</v>
      </c>
      <c r="B12" s="157" t="s">
        <v>81</v>
      </c>
      <c r="C12" s="164" t="s">
        <v>123</v>
      </c>
      <c r="D12" s="164" t="s">
        <v>124</v>
      </c>
      <c r="E12" s="165">
        <v>10000</v>
      </c>
      <c r="F12" s="164" t="s">
        <v>125</v>
      </c>
      <c r="G12" s="164" t="s">
        <v>126</v>
      </c>
      <c r="H12" s="164" t="s">
        <v>127</v>
      </c>
      <c r="I12" s="164" t="s">
        <v>128</v>
      </c>
      <c r="J12" s="164" t="s">
        <v>82</v>
      </c>
      <c r="K12" s="164" t="s">
        <v>129</v>
      </c>
      <c r="L12" s="164" t="s">
        <v>121</v>
      </c>
      <c r="M12" s="162">
        <v>70560</v>
      </c>
      <c r="N12" s="164" t="s">
        <v>130</v>
      </c>
      <c r="O12" s="193">
        <f t="shared" si="0"/>
        <v>70560</v>
      </c>
      <c r="P12" s="194">
        <f t="shared" si="1"/>
        <v>1</v>
      </c>
      <c r="Q12" s="224">
        <f t="shared" si="2"/>
        <v>70560</v>
      </c>
      <c r="R12" s="225">
        <f t="shared" si="3"/>
        <v>1</v>
      </c>
      <c r="S12" s="226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>
        <v>70560</v>
      </c>
      <c r="AN12" s="160">
        <v>70560</v>
      </c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</row>
    <row r="13" s="138" customFormat="1" ht="51" customHeight="1" spans="1:67">
      <c r="A13" s="156">
        <v>8</v>
      </c>
      <c r="B13" s="157" t="s">
        <v>81</v>
      </c>
      <c r="C13" s="164" t="s">
        <v>82</v>
      </c>
      <c r="D13" s="164" t="s">
        <v>115</v>
      </c>
      <c r="E13" s="165">
        <v>7260</v>
      </c>
      <c r="F13" s="164" t="s">
        <v>131</v>
      </c>
      <c r="G13" s="164" t="s">
        <v>132</v>
      </c>
      <c r="H13" s="164" t="s">
        <v>133</v>
      </c>
      <c r="I13" s="164" t="s">
        <v>128</v>
      </c>
      <c r="J13" s="164" t="s">
        <v>82</v>
      </c>
      <c r="K13" s="164" t="s">
        <v>120</v>
      </c>
      <c r="L13" s="164" t="s">
        <v>121</v>
      </c>
      <c r="M13" s="165">
        <v>49000</v>
      </c>
      <c r="N13" s="196" t="s">
        <v>134</v>
      </c>
      <c r="O13" s="193">
        <f t="shared" si="0"/>
        <v>49000</v>
      </c>
      <c r="P13" s="194">
        <f t="shared" si="1"/>
        <v>1</v>
      </c>
      <c r="Q13" s="224">
        <f t="shared" si="2"/>
        <v>49000</v>
      </c>
      <c r="R13" s="225">
        <f t="shared" si="3"/>
        <v>1</v>
      </c>
      <c r="S13" s="226"/>
      <c r="T13" s="160"/>
      <c r="U13" s="160"/>
      <c r="V13" s="160"/>
      <c r="W13" s="160"/>
      <c r="X13" s="160"/>
      <c r="Y13" s="160">
        <v>12250</v>
      </c>
      <c r="Z13" s="160"/>
      <c r="AA13" s="160"/>
      <c r="AB13" s="160">
        <v>12250</v>
      </c>
      <c r="AC13" s="160"/>
      <c r="AD13" s="160"/>
      <c r="AE13" s="160"/>
      <c r="AF13" s="160"/>
      <c r="AG13" s="160"/>
      <c r="AH13" s="160"/>
      <c r="AI13" s="160"/>
      <c r="AJ13" s="160"/>
      <c r="AK13" s="160">
        <v>24500</v>
      </c>
      <c r="AL13" s="160">
        <v>24500</v>
      </c>
      <c r="AM13" s="160"/>
      <c r="AN13" s="160"/>
      <c r="AO13" s="160">
        <v>12250</v>
      </c>
      <c r="AP13" s="160"/>
      <c r="AQ13" s="160"/>
      <c r="AR13" s="160">
        <v>12250</v>
      </c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</row>
    <row r="14" s="138" customFormat="1" spans="1:67">
      <c r="A14" s="156">
        <v>9</v>
      </c>
      <c r="B14" s="157" t="s">
        <v>81</v>
      </c>
      <c r="C14" s="164" t="s">
        <v>135</v>
      </c>
      <c r="D14" s="164"/>
      <c r="E14" s="165" t="s">
        <v>136</v>
      </c>
      <c r="F14" s="164" t="s">
        <v>137</v>
      </c>
      <c r="G14" s="164" t="s">
        <v>138</v>
      </c>
      <c r="H14" s="164" t="s">
        <v>139</v>
      </c>
      <c r="I14" s="164" t="s">
        <v>140</v>
      </c>
      <c r="J14" s="164" t="s">
        <v>141</v>
      </c>
      <c r="K14" s="164" t="s">
        <v>142</v>
      </c>
      <c r="L14" s="160" t="s">
        <v>143</v>
      </c>
      <c r="M14" s="165">
        <v>22000</v>
      </c>
      <c r="N14" s="164" t="s">
        <v>144</v>
      </c>
      <c r="O14" s="193">
        <f t="shared" si="0"/>
        <v>22000</v>
      </c>
      <c r="P14" s="194">
        <f t="shared" si="1"/>
        <v>1</v>
      </c>
      <c r="Q14" s="224">
        <f t="shared" si="2"/>
        <v>22000</v>
      </c>
      <c r="R14" s="225">
        <f t="shared" si="3"/>
        <v>1</v>
      </c>
      <c r="S14" s="226">
        <v>22000</v>
      </c>
      <c r="T14" s="160">
        <v>22000</v>
      </c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</row>
    <row r="15" s="138" customFormat="1" ht="33.75" spans="1:67">
      <c r="A15" s="156">
        <v>10</v>
      </c>
      <c r="B15" s="157" t="s">
        <v>81</v>
      </c>
      <c r="C15" s="164" t="s">
        <v>145</v>
      </c>
      <c r="D15" s="164" t="s">
        <v>146</v>
      </c>
      <c r="E15" s="165" t="s">
        <v>136</v>
      </c>
      <c r="F15" s="164" t="s">
        <v>147</v>
      </c>
      <c r="G15" s="164" t="s">
        <v>148</v>
      </c>
      <c r="H15" s="164" t="s">
        <v>149</v>
      </c>
      <c r="I15" s="164" t="s">
        <v>150</v>
      </c>
      <c r="J15" s="164" t="s">
        <v>82</v>
      </c>
      <c r="K15" s="164" t="s">
        <v>120</v>
      </c>
      <c r="L15" s="164" t="s">
        <v>151</v>
      </c>
      <c r="M15" s="165">
        <v>47000</v>
      </c>
      <c r="N15" s="196" t="s">
        <v>152</v>
      </c>
      <c r="O15" s="193">
        <f t="shared" si="0"/>
        <v>47000</v>
      </c>
      <c r="P15" s="194">
        <f t="shared" si="1"/>
        <v>1</v>
      </c>
      <c r="Q15" s="224">
        <f t="shared" si="2"/>
        <v>47000</v>
      </c>
      <c r="R15" s="225">
        <f t="shared" si="3"/>
        <v>1</v>
      </c>
      <c r="S15" s="226"/>
      <c r="T15" s="160"/>
      <c r="U15" s="160">
        <v>18800</v>
      </c>
      <c r="V15" s="160"/>
      <c r="W15" s="160"/>
      <c r="X15" s="160">
        <v>18800</v>
      </c>
      <c r="Y15" s="160"/>
      <c r="Z15" s="160"/>
      <c r="AA15" s="160"/>
      <c r="AB15" s="160"/>
      <c r="AC15" s="160">
        <v>18800</v>
      </c>
      <c r="AD15" s="160"/>
      <c r="AE15" s="160"/>
      <c r="AF15" s="160"/>
      <c r="AG15" s="160"/>
      <c r="AH15" s="160">
        <v>18800</v>
      </c>
      <c r="AI15" s="160"/>
      <c r="AJ15" s="160"/>
      <c r="AK15" s="160"/>
      <c r="AL15" s="160"/>
      <c r="AM15" s="160"/>
      <c r="AN15" s="160"/>
      <c r="AO15" s="160">
        <v>9400</v>
      </c>
      <c r="AP15" s="160"/>
      <c r="AQ15" s="160"/>
      <c r="AR15" s="160"/>
      <c r="AS15" s="160"/>
      <c r="AT15" s="160">
        <v>9400</v>
      </c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</row>
    <row r="16" s="139" customFormat="1" ht="33.75" spans="1:67">
      <c r="A16" s="156">
        <v>11</v>
      </c>
      <c r="B16" s="157" t="s">
        <v>81</v>
      </c>
      <c r="C16" s="164" t="s">
        <v>91</v>
      </c>
      <c r="D16" s="164" t="s">
        <v>146</v>
      </c>
      <c r="E16" s="165" t="s">
        <v>136</v>
      </c>
      <c r="F16" s="164" t="s">
        <v>153</v>
      </c>
      <c r="G16" s="164" t="s">
        <v>154</v>
      </c>
      <c r="H16" s="164" t="s">
        <v>155</v>
      </c>
      <c r="I16" s="164" t="s">
        <v>119</v>
      </c>
      <c r="J16" s="164" t="s">
        <v>91</v>
      </c>
      <c r="K16" s="164" t="s">
        <v>156</v>
      </c>
      <c r="L16" s="164" t="s">
        <v>151</v>
      </c>
      <c r="M16" s="165">
        <v>110000</v>
      </c>
      <c r="N16" s="196" t="s">
        <v>157</v>
      </c>
      <c r="O16" s="193">
        <f t="shared" si="0"/>
        <v>110000</v>
      </c>
      <c r="P16" s="194">
        <f t="shared" si="1"/>
        <v>1</v>
      </c>
      <c r="Q16" s="224">
        <f t="shared" si="2"/>
        <v>110000</v>
      </c>
      <c r="R16" s="225">
        <f t="shared" si="3"/>
        <v>1</v>
      </c>
      <c r="S16" s="226">
        <v>44000</v>
      </c>
      <c r="T16" s="160">
        <v>44000</v>
      </c>
      <c r="U16" s="160"/>
      <c r="V16" s="160"/>
      <c r="W16" s="160"/>
      <c r="X16" s="160"/>
      <c r="Y16" s="160"/>
      <c r="Z16" s="160"/>
      <c r="AA16" s="160"/>
      <c r="AB16" s="160"/>
      <c r="AC16" s="160">
        <v>22000</v>
      </c>
      <c r="AD16" s="160"/>
      <c r="AE16" s="160"/>
      <c r="AF16" s="160">
        <v>22000</v>
      </c>
      <c r="AG16" s="160"/>
      <c r="AH16" s="160"/>
      <c r="AI16" s="160"/>
      <c r="AJ16" s="160"/>
      <c r="AK16" s="160"/>
      <c r="AL16" s="160"/>
      <c r="AM16" s="160">
        <v>44000</v>
      </c>
      <c r="AN16" s="160">
        <v>44000</v>
      </c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</row>
    <row r="17" s="139" customFormat="1" ht="33.75" spans="1:67">
      <c r="A17" s="156">
        <v>12</v>
      </c>
      <c r="B17" s="157" t="s">
        <v>81</v>
      </c>
      <c r="C17" s="160" t="s">
        <v>158</v>
      </c>
      <c r="D17" s="164" t="s">
        <v>115</v>
      </c>
      <c r="E17" s="162">
        <v>6000</v>
      </c>
      <c r="F17" s="160" t="s">
        <v>159</v>
      </c>
      <c r="G17" s="160" t="s">
        <v>160</v>
      </c>
      <c r="H17" s="160" t="s">
        <v>161</v>
      </c>
      <c r="I17" s="160" t="s">
        <v>162</v>
      </c>
      <c r="J17" s="160" t="s">
        <v>158</v>
      </c>
      <c r="K17" s="160" t="s">
        <v>163</v>
      </c>
      <c r="L17" s="160" t="s">
        <v>164</v>
      </c>
      <c r="M17" s="162">
        <v>36600</v>
      </c>
      <c r="N17" s="192" t="s">
        <v>165</v>
      </c>
      <c r="O17" s="193">
        <f t="shared" si="0"/>
        <v>36600</v>
      </c>
      <c r="P17" s="194">
        <f t="shared" si="1"/>
        <v>1</v>
      </c>
      <c r="Q17" s="224">
        <f t="shared" si="2"/>
        <v>36600</v>
      </c>
      <c r="R17" s="225">
        <f t="shared" si="3"/>
        <v>1</v>
      </c>
      <c r="S17" s="226"/>
      <c r="T17" s="160">
        <v>22600</v>
      </c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>
        <v>36600</v>
      </c>
      <c r="AP17" s="160"/>
      <c r="AQ17" s="160"/>
      <c r="AR17" s="160">
        <v>14000</v>
      </c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</row>
    <row r="18" s="139" customFormat="1" ht="33.75" spans="1:67">
      <c r="A18" s="156">
        <v>13</v>
      </c>
      <c r="B18" s="157" t="s">
        <v>81</v>
      </c>
      <c r="C18" s="160" t="s">
        <v>166</v>
      </c>
      <c r="D18" s="164" t="s">
        <v>124</v>
      </c>
      <c r="E18" s="162">
        <v>13200</v>
      </c>
      <c r="F18" s="160" t="s">
        <v>167</v>
      </c>
      <c r="G18" s="160" t="s">
        <v>168</v>
      </c>
      <c r="H18" s="164" t="s">
        <v>139</v>
      </c>
      <c r="I18" s="160" t="s">
        <v>169</v>
      </c>
      <c r="J18" s="160" t="s">
        <v>166</v>
      </c>
      <c r="K18" s="160" t="s">
        <v>170</v>
      </c>
      <c r="L18" s="164" t="s">
        <v>121</v>
      </c>
      <c r="M18" s="162">
        <v>95800</v>
      </c>
      <c r="N18" s="192" t="s">
        <v>171</v>
      </c>
      <c r="O18" s="193">
        <f t="shared" si="0"/>
        <v>95800</v>
      </c>
      <c r="P18" s="194">
        <f t="shared" si="1"/>
        <v>1</v>
      </c>
      <c r="Q18" s="224">
        <f t="shared" si="2"/>
        <v>95800</v>
      </c>
      <c r="R18" s="225">
        <f t="shared" si="3"/>
        <v>1</v>
      </c>
      <c r="S18" s="226"/>
      <c r="T18" s="160"/>
      <c r="U18" s="160"/>
      <c r="V18" s="160"/>
      <c r="W18" s="160">
        <v>95800</v>
      </c>
      <c r="X18" s="160"/>
      <c r="Y18" s="160"/>
      <c r="Z18" s="160">
        <v>91010</v>
      </c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>
        <v>4790</v>
      </c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</row>
    <row r="19" s="139" customFormat="1" ht="21" customHeight="1" spans="1:67">
      <c r="A19" s="156">
        <v>14</v>
      </c>
      <c r="B19" s="157" t="s">
        <v>81</v>
      </c>
      <c r="C19" s="160" t="s">
        <v>172</v>
      </c>
      <c r="D19" s="164" t="s">
        <v>124</v>
      </c>
      <c r="E19" s="162" t="s">
        <v>173</v>
      </c>
      <c r="F19" s="160" t="s">
        <v>174</v>
      </c>
      <c r="G19" s="160" t="s">
        <v>175</v>
      </c>
      <c r="H19" s="160" t="s">
        <v>176</v>
      </c>
      <c r="I19" s="160" t="s">
        <v>177</v>
      </c>
      <c r="J19" s="160" t="s">
        <v>178</v>
      </c>
      <c r="K19" s="160" t="s">
        <v>179</v>
      </c>
      <c r="L19" s="164" t="s">
        <v>151</v>
      </c>
      <c r="M19" s="162">
        <v>3000</v>
      </c>
      <c r="N19" s="195" t="s">
        <v>180</v>
      </c>
      <c r="O19" s="193">
        <f t="shared" si="0"/>
        <v>3000</v>
      </c>
      <c r="P19" s="194">
        <f t="shared" si="1"/>
        <v>1</v>
      </c>
      <c r="Q19" s="224">
        <f t="shared" si="2"/>
        <v>3000</v>
      </c>
      <c r="R19" s="225">
        <f t="shared" si="3"/>
        <v>1</v>
      </c>
      <c r="S19" s="226">
        <v>3000</v>
      </c>
      <c r="T19" s="160"/>
      <c r="U19" s="160"/>
      <c r="V19" s="160"/>
      <c r="W19" s="160"/>
      <c r="X19" s="160"/>
      <c r="Y19" s="160"/>
      <c r="Z19" s="160">
        <v>3000</v>
      </c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</row>
    <row r="20" s="140" customFormat="1" ht="22" customHeight="1" spans="1:67">
      <c r="A20" s="166">
        <v>15</v>
      </c>
      <c r="B20" s="167" t="s">
        <v>81</v>
      </c>
      <c r="C20" s="147" t="s">
        <v>181</v>
      </c>
      <c r="D20" s="147"/>
      <c r="E20" s="168" t="s">
        <v>136</v>
      </c>
      <c r="F20" s="147" t="s">
        <v>182</v>
      </c>
      <c r="G20" s="147" t="s">
        <v>183</v>
      </c>
      <c r="H20" s="147" t="s">
        <v>184</v>
      </c>
      <c r="I20" s="147" t="s">
        <v>185</v>
      </c>
      <c r="J20" s="147" t="s">
        <v>186</v>
      </c>
      <c r="K20" s="147" t="s">
        <v>187</v>
      </c>
      <c r="L20" s="197" t="s">
        <v>121</v>
      </c>
      <c r="M20" s="168">
        <v>6000</v>
      </c>
      <c r="N20" s="198" t="s">
        <v>188</v>
      </c>
      <c r="O20" s="199">
        <f t="shared" ref="O20:O29" si="4">S20+U20+W20+Y20+AA20+AC20+AE20+AG20+AI20+AK20+AM20+AO20+AQ20+AS20+AU20+AW20+AY20+BA20+BC20+BE20+BG20+BI20+BK20+BM20</f>
        <v>0</v>
      </c>
      <c r="P20" s="200">
        <f t="shared" si="1"/>
        <v>0</v>
      </c>
      <c r="Q20" s="227">
        <f t="shared" ref="Q20:Q29" si="5">T20+V20+X20+Z20+AB20+AD20+AF20+AH20+AJ20+AL20+AN20+AP20+AR20+AT20+AV20+AX20+AZ20+BB20+BD20+BF20+BH20+BJ20+BL20+BN20</f>
        <v>3000</v>
      </c>
      <c r="R20" s="228">
        <f t="shared" si="3"/>
        <v>0.5</v>
      </c>
      <c r="S20" s="229"/>
      <c r="T20" s="230">
        <v>3000</v>
      </c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230"/>
      <c r="BM20" s="230"/>
      <c r="BN20" s="230"/>
      <c r="BO20" s="230"/>
    </row>
    <row r="21" s="141" customFormat="1" ht="23" customHeight="1" spans="1:67">
      <c r="A21" s="169">
        <v>16</v>
      </c>
      <c r="B21" s="170" t="s">
        <v>81</v>
      </c>
      <c r="C21" s="171" t="s">
        <v>179</v>
      </c>
      <c r="D21" s="171"/>
      <c r="E21" s="172"/>
      <c r="F21" s="171" t="s">
        <v>189</v>
      </c>
      <c r="G21" s="171" t="s">
        <v>190</v>
      </c>
      <c r="H21" s="171" t="s">
        <v>191</v>
      </c>
      <c r="I21" s="171" t="s">
        <v>192</v>
      </c>
      <c r="J21" s="171" t="s">
        <v>193</v>
      </c>
      <c r="K21" s="171" t="s">
        <v>194</v>
      </c>
      <c r="L21" s="201" t="s">
        <v>164</v>
      </c>
      <c r="M21" s="172">
        <v>13000</v>
      </c>
      <c r="N21" s="202" t="s">
        <v>195</v>
      </c>
      <c r="O21" s="203">
        <f t="shared" si="4"/>
        <v>6000</v>
      </c>
      <c r="P21" s="204">
        <f t="shared" si="1"/>
        <v>0.461538461538462</v>
      </c>
      <c r="Q21" s="231">
        <f t="shared" si="5"/>
        <v>6000</v>
      </c>
      <c r="R21" s="232">
        <f t="shared" si="3"/>
        <v>0.461538461538462</v>
      </c>
      <c r="S21" s="233"/>
      <c r="T21" s="201"/>
      <c r="U21" s="201"/>
      <c r="V21" s="201">
        <v>6000</v>
      </c>
      <c r="W21" s="201"/>
      <c r="X21" s="201"/>
      <c r="Y21" s="201"/>
      <c r="Z21" s="201"/>
      <c r="AA21" s="201"/>
      <c r="AB21" s="201"/>
      <c r="AC21" s="201">
        <v>6000</v>
      </c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</row>
    <row r="22" s="142" customFormat="1" ht="15" customHeight="1" spans="1:67">
      <c r="A22" s="156">
        <v>17</v>
      </c>
      <c r="B22" s="157" t="s">
        <v>81</v>
      </c>
      <c r="C22" s="173" t="s">
        <v>196</v>
      </c>
      <c r="D22" s="173"/>
      <c r="E22" s="165" t="s">
        <v>136</v>
      </c>
      <c r="F22" s="173" t="s">
        <v>197</v>
      </c>
      <c r="G22" s="173" t="s">
        <v>198</v>
      </c>
      <c r="H22" s="173" t="s">
        <v>199</v>
      </c>
      <c r="I22" s="173" t="s">
        <v>200</v>
      </c>
      <c r="J22" s="173" t="s">
        <v>201</v>
      </c>
      <c r="K22" s="173" t="s">
        <v>202</v>
      </c>
      <c r="L22" s="160" t="s">
        <v>143</v>
      </c>
      <c r="M22" s="165">
        <v>22000</v>
      </c>
      <c r="N22" s="205" t="s">
        <v>203</v>
      </c>
      <c r="O22" s="193">
        <f t="shared" si="4"/>
        <v>22000</v>
      </c>
      <c r="P22" s="194">
        <f t="shared" si="1"/>
        <v>1</v>
      </c>
      <c r="Q22" s="224">
        <f t="shared" si="5"/>
        <v>22000</v>
      </c>
      <c r="R22" s="225">
        <f t="shared" si="3"/>
        <v>1</v>
      </c>
      <c r="S22" s="226"/>
      <c r="T22" s="160"/>
      <c r="U22" s="160">
        <v>22000</v>
      </c>
      <c r="V22" s="160">
        <v>22000</v>
      </c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</row>
    <row r="23" s="142" customFormat="1" spans="1:67">
      <c r="A23" s="156">
        <v>18</v>
      </c>
      <c r="B23" s="157" t="s">
        <v>81</v>
      </c>
      <c r="C23" s="173" t="s">
        <v>204</v>
      </c>
      <c r="D23" s="173"/>
      <c r="E23" s="165" t="s">
        <v>136</v>
      </c>
      <c r="F23" s="173" t="s">
        <v>137</v>
      </c>
      <c r="G23" s="164" t="s">
        <v>138</v>
      </c>
      <c r="H23" s="173" t="s">
        <v>205</v>
      </c>
      <c r="I23" s="173" t="s">
        <v>206</v>
      </c>
      <c r="J23" s="173" t="s">
        <v>202</v>
      </c>
      <c r="K23" s="173" t="s">
        <v>207</v>
      </c>
      <c r="L23" s="160" t="s">
        <v>143</v>
      </c>
      <c r="M23" s="165">
        <v>28800</v>
      </c>
      <c r="N23" s="205" t="s">
        <v>208</v>
      </c>
      <c r="O23" s="193">
        <f t="shared" si="4"/>
        <v>28800</v>
      </c>
      <c r="P23" s="194">
        <f t="shared" si="1"/>
        <v>1</v>
      </c>
      <c r="Q23" s="224">
        <f t="shared" si="5"/>
        <v>28800</v>
      </c>
      <c r="R23" s="225">
        <f t="shared" si="3"/>
        <v>1</v>
      </c>
      <c r="S23" s="226"/>
      <c r="T23" s="160"/>
      <c r="U23" s="160">
        <v>28800</v>
      </c>
      <c r="V23" s="160">
        <v>28800</v>
      </c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</row>
    <row r="24" s="142" customFormat="1" spans="1:67">
      <c r="A24" s="156">
        <v>19</v>
      </c>
      <c r="B24" s="157" t="s">
        <v>81</v>
      </c>
      <c r="C24" s="173" t="s">
        <v>209</v>
      </c>
      <c r="D24" s="173"/>
      <c r="E24" s="165" t="s">
        <v>136</v>
      </c>
      <c r="F24" s="173" t="s">
        <v>137</v>
      </c>
      <c r="G24" s="164" t="s">
        <v>138</v>
      </c>
      <c r="H24" s="173" t="s">
        <v>210</v>
      </c>
      <c r="I24" s="173" t="s">
        <v>211</v>
      </c>
      <c r="J24" s="173" t="s">
        <v>212</v>
      </c>
      <c r="K24" s="173" t="s">
        <v>202</v>
      </c>
      <c r="L24" s="160" t="s">
        <v>143</v>
      </c>
      <c r="M24" s="165">
        <v>12000</v>
      </c>
      <c r="N24" s="205" t="s">
        <v>203</v>
      </c>
      <c r="O24" s="193">
        <f t="shared" si="4"/>
        <v>12000</v>
      </c>
      <c r="P24" s="194">
        <f t="shared" si="1"/>
        <v>1</v>
      </c>
      <c r="Q24" s="224">
        <f t="shared" si="5"/>
        <v>12000</v>
      </c>
      <c r="R24" s="225">
        <f t="shared" si="3"/>
        <v>1</v>
      </c>
      <c r="S24" s="226"/>
      <c r="T24" s="160"/>
      <c r="U24" s="160">
        <v>12000</v>
      </c>
      <c r="V24" s="160">
        <v>12000</v>
      </c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</row>
    <row r="25" s="142" customFormat="1" spans="1:67">
      <c r="A25" s="156">
        <v>20</v>
      </c>
      <c r="B25" s="157" t="s">
        <v>81</v>
      </c>
      <c r="C25" s="173" t="s">
        <v>213</v>
      </c>
      <c r="D25" s="173"/>
      <c r="E25" s="165" t="s">
        <v>136</v>
      </c>
      <c r="F25" s="173" t="s">
        <v>137</v>
      </c>
      <c r="G25" s="164" t="s">
        <v>138</v>
      </c>
      <c r="H25" s="173" t="s">
        <v>214</v>
      </c>
      <c r="I25" s="173" t="s">
        <v>215</v>
      </c>
      <c r="J25" s="173" t="s">
        <v>213</v>
      </c>
      <c r="K25" s="173" t="s">
        <v>216</v>
      </c>
      <c r="L25" s="160" t="s">
        <v>143</v>
      </c>
      <c r="M25" s="165">
        <v>24800</v>
      </c>
      <c r="N25" s="205" t="s">
        <v>217</v>
      </c>
      <c r="O25" s="193">
        <f t="shared" si="4"/>
        <v>24800</v>
      </c>
      <c r="P25" s="194">
        <f t="shared" si="1"/>
        <v>1</v>
      </c>
      <c r="Q25" s="224">
        <f t="shared" si="5"/>
        <v>24800</v>
      </c>
      <c r="R25" s="225">
        <f t="shared" si="3"/>
        <v>1</v>
      </c>
      <c r="S25" s="226"/>
      <c r="T25" s="160"/>
      <c r="U25" s="160">
        <v>24800</v>
      </c>
      <c r="V25" s="160">
        <v>24800</v>
      </c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</row>
    <row r="26" s="142" customFormat="1" spans="1:67">
      <c r="A26" s="156">
        <v>21</v>
      </c>
      <c r="B26" s="157" t="s">
        <v>81</v>
      </c>
      <c r="C26" s="173" t="s">
        <v>179</v>
      </c>
      <c r="D26" s="173"/>
      <c r="E26" s="165" t="s">
        <v>136</v>
      </c>
      <c r="F26" s="173" t="s">
        <v>137</v>
      </c>
      <c r="G26" s="164" t="s">
        <v>138</v>
      </c>
      <c r="H26" s="173" t="s">
        <v>218</v>
      </c>
      <c r="I26" s="173" t="s">
        <v>219</v>
      </c>
      <c r="J26" s="173" t="s">
        <v>193</v>
      </c>
      <c r="K26" s="173" t="s">
        <v>220</v>
      </c>
      <c r="L26" s="160" t="s">
        <v>143</v>
      </c>
      <c r="M26" s="165">
        <v>22000</v>
      </c>
      <c r="N26" s="205" t="s">
        <v>221</v>
      </c>
      <c r="O26" s="193">
        <f t="shared" si="4"/>
        <v>22000</v>
      </c>
      <c r="P26" s="194">
        <f t="shared" si="1"/>
        <v>1</v>
      </c>
      <c r="Q26" s="224">
        <f t="shared" si="5"/>
        <v>22000</v>
      </c>
      <c r="R26" s="225">
        <f t="shared" si="3"/>
        <v>1</v>
      </c>
      <c r="S26" s="226"/>
      <c r="T26" s="160"/>
      <c r="U26" s="160">
        <v>22000</v>
      </c>
      <c r="V26" s="160">
        <v>22000</v>
      </c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</row>
    <row r="27" s="142" customFormat="1" spans="1:67">
      <c r="A27" s="156">
        <v>22</v>
      </c>
      <c r="B27" s="157" t="s">
        <v>81</v>
      </c>
      <c r="C27" s="173" t="s">
        <v>222</v>
      </c>
      <c r="D27" s="173"/>
      <c r="E27" s="165" t="s">
        <v>136</v>
      </c>
      <c r="F27" s="173" t="s">
        <v>137</v>
      </c>
      <c r="G27" s="164" t="s">
        <v>138</v>
      </c>
      <c r="H27" s="173" t="s">
        <v>223</v>
      </c>
      <c r="I27" s="173" t="s">
        <v>224</v>
      </c>
      <c r="J27" s="173" t="s">
        <v>225</v>
      </c>
      <c r="K27" s="173" t="s">
        <v>178</v>
      </c>
      <c r="L27" s="160" t="s">
        <v>143</v>
      </c>
      <c r="M27" s="165">
        <v>20000</v>
      </c>
      <c r="N27" s="205" t="s">
        <v>226</v>
      </c>
      <c r="O27" s="193">
        <f t="shared" si="4"/>
        <v>20000</v>
      </c>
      <c r="P27" s="194">
        <f t="shared" si="1"/>
        <v>1</v>
      </c>
      <c r="Q27" s="224">
        <f t="shared" si="5"/>
        <v>20000</v>
      </c>
      <c r="R27" s="225">
        <f t="shared" si="3"/>
        <v>1</v>
      </c>
      <c r="S27" s="226"/>
      <c r="T27" s="160"/>
      <c r="U27" s="160">
        <v>20000</v>
      </c>
      <c r="V27" s="160">
        <v>20000</v>
      </c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</row>
    <row r="28" s="142" customFormat="1" spans="1:67">
      <c r="A28" s="156">
        <v>23</v>
      </c>
      <c r="B28" s="157" t="s">
        <v>81</v>
      </c>
      <c r="C28" s="173" t="s">
        <v>135</v>
      </c>
      <c r="D28" s="173"/>
      <c r="E28" s="165" t="s">
        <v>136</v>
      </c>
      <c r="F28" s="173" t="s">
        <v>137</v>
      </c>
      <c r="G28" s="164" t="s">
        <v>138</v>
      </c>
      <c r="H28" s="173" t="s">
        <v>227</v>
      </c>
      <c r="I28" s="173" t="s">
        <v>228</v>
      </c>
      <c r="J28" s="173" t="s">
        <v>225</v>
      </c>
      <c r="K28" s="173" t="s">
        <v>229</v>
      </c>
      <c r="L28" s="160" t="s">
        <v>143</v>
      </c>
      <c r="M28" s="165">
        <v>96000</v>
      </c>
      <c r="N28" s="205" t="s">
        <v>226</v>
      </c>
      <c r="O28" s="193">
        <f t="shared" si="4"/>
        <v>96000</v>
      </c>
      <c r="P28" s="194">
        <f t="shared" si="1"/>
        <v>1</v>
      </c>
      <c r="Q28" s="224">
        <f t="shared" si="5"/>
        <v>96000</v>
      </c>
      <c r="R28" s="225">
        <f t="shared" si="3"/>
        <v>1</v>
      </c>
      <c r="S28" s="226"/>
      <c r="T28" s="160"/>
      <c r="U28" s="160">
        <v>96000</v>
      </c>
      <c r="V28" s="160">
        <v>96000</v>
      </c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</row>
    <row r="29" spans="1:67">
      <c r="A29" s="174" t="s">
        <v>34</v>
      </c>
      <c r="B29" s="175"/>
      <c r="C29" s="175"/>
      <c r="D29" s="175"/>
      <c r="E29" s="176"/>
      <c r="F29" s="175"/>
      <c r="G29" s="175"/>
      <c r="H29" s="175"/>
      <c r="I29" s="175"/>
      <c r="J29" s="175"/>
      <c r="K29" s="175"/>
      <c r="L29" s="175"/>
      <c r="M29" s="206">
        <f>SUM(M6:M28)</f>
        <v>1975513</v>
      </c>
      <c r="N29" s="207"/>
      <c r="O29" s="208">
        <f>SUM(O6:O28)</f>
        <v>1962513</v>
      </c>
      <c r="P29" s="209">
        <f t="shared" si="1"/>
        <v>0.993419430801012</v>
      </c>
      <c r="Q29" s="208">
        <f>SUM(Q6:Q28)</f>
        <v>1965513</v>
      </c>
      <c r="R29" s="234">
        <f t="shared" si="3"/>
        <v>0.994938023693086</v>
      </c>
      <c r="S29" s="23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9"/>
    </row>
    <row r="30" s="142" customFormat="1" spans="1:67">
      <c r="A30" s="177">
        <v>1</v>
      </c>
      <c r="B30" s="157" t="s">
        <v>230</v>
      </c>
      <c r="C30" s="173" t="s">
        <v>231</v>
      </c>
      <c r="D30" s="173"/>
      <c r="E30" s="165"/>
      <c r="F30" s="173" t="s">
        <v>232</v>
      </c>
      <c r="G30" s="173" t="s">
        <v>233</v>
      </c>
      <c r="H30" s="173" t="s">
        <v>139</v>
      </c>
      <c r="I30" s="173" t="s">
        <v>234</v>
      </c>
      <c r="J30" s="173" t="s">
        <v>231</v>
      </c>
      <c r="K30" s="173"/>
      <c r="L30" s="164" t="s">
        <v>121</v>
      </c>
      <c r="M30" s="165">
        <v>1600</v>
      </c>
      <c r="N30" s="205" t="s">
        <v>235</v>
      </c>
      <c r="O30" s="193">
        <f>S30+U30+W30+Y30+AA30+AC30+AE30+AG30+AI30+AK30+AM30+AO30+AQ30+AS30+AU30+AW30+AY30+BA30+BC30+BE30+BG30+BI30+BK30+BM30</f>
        <v>1600</v>
      </c>
      <c r="P30" s="194">
        <f t="shared" si="1"/>
        <v>1</v>
      </c>
      <c r="Q30" s="224">
        <f>T30+V30+X30+Z30+AB30+AD30+AF30+AH30+AJ30+AL30+AN30+AP30+AR30+AT30+AV30+AX30+AZ30+BB30+BD30+BF30+BH30+BJ30+BL30+BN30</f>
        <v>1600</v>
      </c>
      <c r="R30" s="225">
        <f t="shared" si="3"/>
        <v>1</v>
      </c>
      <c r="S30" s="236"/>
      <c r="T30" s="173"/>
      <c r="U30" s="173"/>
      <c r="V30" s="173"/>
      <c r="W30" s="173">
        <v>1600</v>
      </c>
      <c r="X30" s="173"/>
      <c r="Y30" s="173"/>
      <c r="Z30" s="173"/>
      <c r="AA30" s="173"/>
      <c r="AB30" s="173">
        <v>1600</v>
      </c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</row>
    <row r="31" s="142" customFormat="1" spans="1:67">
      <c r="A31" s="177">
        <v>2</v>
      </c>
      <c r="B31" s="157" t="s">
        <v>81</v>
      </c>
      <c r="C31" s="173" t="s">
        <v>202</v>
      </c>
      <c r="D31" s="173" t="s">
        <v>124</v>
      </c>
      <c r="E31" s="165"/>
      <c r="F31" s="173" t="s">
        <v>236</v>
      </c>
      <c r="G31" s="173" t="s">
        <v>237</v>
      </c>
      <c r="H31" s="173" t="s">
        <v>238</v>
      </c>
      <c r="I31" s="173" t="s">
        <v>239</v>
      </c>
      <c r="J31" s="173" t="s">
        <v>202</v>
      </c>
      <c r="K31" s="173" t="s">
        <v>240</v>
      </c>
      <c r="L31" s="164" t="s">
        <v>121</v>
      </c>
      <c r="M31" s="165">
        <v>18000</v>
      </c>
      <c r="N31" s="205" t="s">
        <v>208</v>
      </c>
      <c r="O31" s="193">
        <f>S31+U31+W31+Y31+AA31+AC31+AE31+AG31+AI31+AK31+AM31+AO31+AQ31+AS31+AU31+AW31+AY31+BA31+BC31+BE31+BG31+BI31+BK31+BM31</f>
        <v>18000</v>
      </c>
      <c r="P31" s="194">
        <f t="shared" si="1"/>
        <v>1</v>
      </c>
      <c r="Q31" s="224">
        <f>T31+V31+X31+Z31+AB31+AD31+AF31+AH31+AJ31+AL31+AN31+AP31+AR31+AT31+AV31+AX31+AZ31+BB31+BD31+BF31+BH31+BJ31+BL31+BN31</f>
        <v>18000</v>
      </c>
      <c r="R31" s="225">
        <f t="shared" si="3"/>
        <v>1</v>
      </c>
      <c r="S31" s="236"/>
      <c r="T31" s="173"/>
      <c r="U31" s="173">
        <v>18000</v>
      </c>
      <c r="V31" s="173">
        <v>18000</v>
      </c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</row>
    <row r="32" s="142" customFormat="1" spans="1:67">
      <c r="A32" s="177">
        <v>3</v>
      </c>
      <c r="B32" s="157" t="s">
        <v>81</v>
      </c>
      <c r="C32" s="173" t="s">
        <v>241</v>
      </c>
      <c r="D32" s="173"/>
      <c r="E32" s="165" t="s">
        <v>136</v>
      </c>
      <c r="F32" s="173" t="s">
        <v>137</v>
      </c>
      <c r="G32" s="173" t="s">
        <v>242</v>
      </c>
      <c r="H32" s="173" t="s">
        <v>243</v>
      </c>
      <c r="I32" s="173" t="s">
        <v>244</v>
      </c>
      <c r="J32" s="173" t="s">
        <v>231</v>
      </c>
      <c r="K32" s="173" t="s">
        <v>245</v>
      </c>
      <c r="L32" s="173" t="s">
        <v>246</v>
      </c>
      <c r="M32" s="165">
        <v>12000</v>
      </c>
      <c r="N32" s="205" t="s">
        <v>247</v>
      </c>
      <c r="O32" s="193">
        <f>S32+U32+W32+Y32+AA32+AC32+AE32+AG32+AI32+AK32+AM32+AO32+AQ32+AS32+AU32+AW32+AY32+BA32+BC32+BE32+BG32+BI32+BK32+BM32</f>
        <v>12000</v>
      </c>
      <c r="P32" s="194">
        <f t="shared" si="1"/>
        <v>1</v>
      </c>
      <c r="Q32" s="224">
        <f>T32+V32+X32+Z32+AB32+AD32+AF32+AH32+AJ32+AL32+AN32+AP32+AR32+AT32+AV32+AX32+AZ32+BB32+BD32+BF32+BH32+BJ32+BL32+BN32</f>
        <v>12000</v>
      </c>
      <c r="R32" s="225">
        <f t="shared" si="3"/>
        <v>1</v>
      </c>
      <c r="S32" s="236"/>
      <c r="T32" s="173"/>
      <c r="U32" s="173">
        <v>12000</v>
      </c>
      <c r="V32" s="173">
        <v>12000</v>
      </c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</row>
    <row r="33" spans="1:67">
      <c r="A33" s="178">
        <v>4</v>
      </c>
      <c r="B33" s="175" t="s">
        <v>248</v>
      </c>
      <c r="C33" s="179" t="s">
        <v>231</v>
      </c>
      <c r="D33" s="179"/>
      <c r="E33" s="180"/>
      <c r="F33" s="179" t="s">
        <v>174</v>
      </c>
      <c r="G33" s="179" t="s">
        <v>175</v>
      </c>
      <c r="H33" s="179"/>
      <c r="I33" s="179" t="s">
        <v>249</v>
      </c>
      <c r="J33" s="179" t="s">
        <v>250</v>
      </c>
      <c r="K33" s="179" t="s">
        <v>251</v>
      </c>
      <c r="L33" s="179" t="s">
        <v>252</v>
      </c>
      <c r="M33" s="180">
        <v>734265</v>
      </c>
      <c r="N33" s="210"/>
      <c r="O33" s="211">
        <f>S33+U33+W33+Y33+AA33+AC33+AE33+AG33+AI33+AK33+AM33+AO33+AQ33+AS33+AU33+AW33+AY33+BA33+BC33+BE33+BG33+BI33+BK33+BM33</f>
        <v>0</v>
      </c>
      <c r="P33" s="212">
        <f t="shared" si="1"/>
        <v>0</v>
      </c>
      <c r="Q33" s="237">
        <f>T33+V33+X33+Z33+AB33+AD33+AF33+AH33+AJ33+AL33+AN33+AP33+AR33+AT33+AV33+AX33+AZ33+BB33+BD33+BF33+BH33+BJ33+BL33+BN33</f>
        <v>0</v>
      </c>
      <c r="R33" s="238">
        <f t="shared" si="3"/>
        <v>0</v>
      </c>
      <c r="S33" s="23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  <c r="BL33" s="179"/>
      <c r="BM33" s="179"/>
      <c r="BN33" s="179"/>
      <c r="BO33" s="179"/>
    </row>
    <row r="34" spans="1:67">
      <c r="A34" s="174" t="s">
        <v>35</v>
      </c>
      <c r="B34" s="175"/>
      <c r="C34" s="175"/>
      <c r="D34" s="175"/>
      <c r="E34" s="176"/>
      <c r="F34" s="175"/>
      <c r="G34" s="175"/>
      <c r="H34" s="175"/>
      <c r="I34" s="175"/>
      <c r="J34" s="175"/>
      <c r="K34" s="175"/>
      <c r="L34" s="175"/>
      <c r="M34" s="206">
        <f>M30+M31+M32+M33</f>
        <v>765865</v>
      </c>
      <c r="N34" s="207"/>
      <c r="O34" s="208">
        <f>SUM(O30:O33)</f>
        <v>31600</v>
      </c>
      <c r="P34" s="209">
        <f t="shared" ref="P34:P45" si="6">O34/M34</f>
        <v>0.0412605354729619</v>
      </c>
      <c r="Q34" s="208">
        <f>SUM(Q30:Q33)</f>
        <v>31600</v>
      </c>
      <c r="R34" s="234">
        <f t="shared" ref="R34:R45" si="7">Q34/M34</f>
        <v>0.0412605354729619</v>
      </c>
      <c r="S34" s="23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9"/>
    </row>
    <row r="35" spans="1:67">
      <c r="A35" s="174" t="s">
        <v>253</v>
      </c>
      <c r="B35" s="175"/>
      <c r="C35" s="175"/>
      <c r="D35" s="175"/>
      <c r="E35" s="176"/>
      <c r="F35" s="175"/>
      <c r="G35" s="175"/>
      <c r="H35" s="175"/>
      <c r="I35" s="175"/>
      <c r="J35" s="175"/>
      <c r="K35" s="175"/>
      <c r="L35" s="175"/>
      <c r="M35" s="176">
        <f>M29+M34</f>
        <v>2741378</v>
      </c>
      <c r="N35" s="207"/>
      <c r="O35" s="208">
        <f>O29+O34</f>
        <v>1994113</v>
      </c>
      <c r="P35" s="209">
        <f t="shared" si="6"/>
        <v>0.727412637002267</v>
      </c>
      <c r="Q35" s="240">
        <f>Q29+Q34</f>
        <v>1997113</v>
      </c>
      <c r="R35" s="234">
        <f t="shared" si="7"/>
        <v>0.728506977147989</v>
      </c>
      <c r="S35" s="23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9"/>
    </row>
    <row r="36" s="142" customFormat="1" ht="22.5" spans="1:67">
      <c r="A36" s="177">
        <v>1</v>
      </c>
      <c r="B36" s="157" t="s">
        <v>81</v>
      </c>
      <c r="C36" s="173" t="s">
        <v>254</v>
      </c>
      <c r="D36" s="173" t="s">
        <v>124</v>
      </c>
      <c r="E36" s="165">
        <v>6000</v>
      </c>
      <c r="F36" s="173" t="s">
        <v>255</v>
      </c>
      <c r="G36" s="173" t="s">
        <v>256</v>
      </c>
      <c r="H36" s="173" t="s">
        <v>257</v>
      </c>
      <c r="I36" s="173" t="s">
        <v>258</v>
      </c>
      <c r="J36" s="173" t="s">
        <v>259</v>
      </c>
      <c r="K36" s="173" t="s">
        <v>260</v>
      </c>
      <c r="L36" s="173" t="s">
        <v>88</v>
      </c>
      <c r="M36" s="165">
        <v>69600</v>
      </c>
      <c r="N36" s="213" t="s">
        <v>261</v>
      </c>
      <c r="O36" s="193">
        <f t="shared" ref="O34:O45" si="8">S36+U36+W36+Y36+AA36+AC36+AE36+AG36+AI36+AK36+AM36+AO36+AQ36+AS36+AU36+AW36+AY36+BA36+BC36+BE36+BG36+BI36+BK36+BM36</f>
        <v>69600</v>
      </c>
      <c r="P36" s="194">
        <f t="shared" si="6"/>
        <v>1</v>
      </c>
      <c r="Q36" s="224">
        <f t="shared" ref="Q34:Q45" si="9">T36+V36+X36+Z36+AB36+AD36+AF36+AH36+AJ36+AL36+AN36+AP36+AR36+AT36+AV36+AX36+AZ36+BB36+BD36+BF36+BH36+BJ36+BL36+BN36</f>
        <v>69600</v>
      </c>
      <c r="R36" s="225">
        <f t="shared" si="7"/>
        <v>1</v>
      </c>
      <c r="S36" s="236"/>
      <c r="T36" s="173"/>
      <c r="U36" s="173"/>
      <c r="V36" s="173"/>
      <c r="W36" s="173">
        <v>34800</v>
      </c>
      <c r="X36" s="173">
        <v>34800</v>
      </c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>
        <v>34800</v>
      </c>
      <c r="AR36" s="173">
        <v>34800</v>
      </c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</row>
    <row r="37" s="142" customFormat="1" ht="22.5" spans="1:67">
      <c r="A37" s="177">
        <v>2</v>
      </c>
      <c r="B37" s="157" t="s">
        <v>81</v>
      </c>
      <c r="C37" s="173" t="s">
        <v>254</v>
      </c>
      <c r="D37" s="173"/>
      <c r="E37" s="165"/>
      <c r="F37" s="173" t="s">
        <v>255</v>
      </c>
      <c r="G37" s="173" t="s">
        <v>256</v>
      </c>
      <c r="H37" s="173" t="s">
        <v>262</v>
      </c>
      <c r="I37" s="173" t="s">
        <v>263</v>
      </c>
      <c r="J37" s="173" t="s">
        <v>264</v>
      </c>
      <c r="K37" s="173" t="s">
        <v>265</v>
      </c>
      <c r="L37" s="173" t="s">
        <v>88</v>
      </c>
      <c r="M37" s="165">
        <v>199600</v>
      </c>
      <c r="N37" s="213" t="s">
        <v>266</v>
      </c>
      <c r="O37" s="193">
        <f t="shared" si="8"/>
        <v>199600</v>
      </c>
      <c r="P37" s="194">
        <f t="shared" si="6"/>
        <v>1</v>
      </c>
      <c r="Q37" s="224">
        <f t="shared" si="9"/>
        <v>199600</v>
      </c>
      <c r="R37" s="225">
        <f t="shared" si="7"/>
        <v>1</v>
      </c>
      <c r="S37" s="236"/>
      <c r="T37" s="173"/>
      <c r="U37" s="173"/>
      <c r="V37" s="173"/>
      <c r="W37" s="173">
        <v>99800</v>
      </c>
      <c r="X37" s="173">
        <v>99800</v>
      </c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>
        <v>99800</v>
      </c>
      <c r="AR37" s="173">
        <v>99800</v>
      </c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</row>
    <row r="38" s="142" customFormat="1" spans="1:67">
      <c r="A38" s="177">
        <v>3</v>
      </c>
      <c r="B38" s="173" t="s">
        <v>230</v>
      </c>
      <c r="C38" s="173" t="s">
        <v>267</v>
      </c>
      <c r="D38" s="173"/>
      <c r="E38" s="165"/>
      <c r="F38" s="173" t="s">
        <v>268</v>
      </c>
      <c r="G38" s="173" t="s">
        <v>269</v>
      </c>
      <c r="H38" s="173" t="s">
        <v>270</v>
      </c>
      <c r="I38" s="173" t="s">
        <v>271</v>
      </c>
      <c r="J38" s="173" t="s">
        <v>272</v>
      </c>
      <c r="K38" s="173" t="s">
        <v>273</v>
      </c>
      <c r="L38" s="173" t="s">
        <v>121</v>
      </c>
      <c r="M38" s="165">
        <v>7580</v>
      </c>
      <c r="N38" s="205" t="s">
        <v>274</v>
      </c>
      <c r="O38" s="193">
        <f t="shared" si="8"/>
        <v>7580</v>
      </c>
      <c r="P38" s="194">
        <f t="shared" si="6"/>
        <v>1</v>
      </c>
      <c r="Q38" s="224">
        <f t="shared" si="9"/>
        <v>7580</v>
      </c>
      <c r="R38" s="225">
        <f t="shared" si="7"/>
        <v>1</v>
      </c>
      <c r="S38" s="236"/>
      <c r="T38" s="173"/>
      <c r="U38" s="173"/>
      <c r="V38" s="173"/>
      <c r="W38" s="173"/>
      <c r="X38" s="173">
        <v>7580</v>
      </c>
      <c r="Y38" s="173">
        <v>7580</v>
      </c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</row>
    <row r="39" s="142" customFormat="1" ht="33.75" spans="1:67">
      <c r="A39" s="177">
        <v>4</v>
      </c>
      <c r="B39" s="157" t="s">
        <v>81</v>
      </c>
      <c r="C39" s="173" t="s">
        <v>275</v>
      </c>
      <c r="D39" s="173" t="s">
        <v>83</v>
      </c>
      <c r="E39" s="165">
        <v>7000</v>
      </c>
      <c r="F39" s="173" t="s">
        <v>276</v>
      </c>
      <c r="G39" s="173" t="s">
        <v>277</v>
      </c>
      <c r="H39" s="173" t="s">
        <v>278</v>
      </c>
      <c r="I39" s="173" t="s">
        <v>279</v>
      </c>
      <c r="J39" s="173" t="s">
        <v>259</v>
      </c>
      <c r="K39" s="173" t="s">
        <v>260</v>
      </c>
      <c r="L39" s="173" t="s">
        <v>121</v>
      </c>
      <c r="M39" s="165">
        <v>66000</v>
      </c>
      <c r="N39" s="213" t="s">
        <v>280</v>
      </c>
      <c r="O39" s="193">
        <f t="shared" si="8"/>
        <v>66000</v>
      </c>
      <c r="P39" s="194">
        <f t="shared" si="6"/>
        <v>1</v>
      </c>
      <c r="Q39" s="224">
        <f t="shared" si="9"/>
        <v>66000</v>
      </c>
      <c r="R39" s="225">
        <f t="shared" si="7"/>
        <v>1</v>
      </c>
      <c r="S39" s="236"/>
      <c r="T39" s="173"/>
      <c r="U39" s="173"/>
      <c r="V39" s="173"/>
      <c r="W39" s="173"/>
      <c r="X39" s="173"/>
      <c r="Y39" s="173">
        <v>26400</v>
      </c>
      <c r="Z39" s="173"/>
      <c r="AA39" s="173"/>
      <c r="AB39" s="173">
        <v>26400</v>
      </c>
      <c r="AC39" s="173">
        <v>33000</v>
      </c>
      <c r="AD39" s="173">
        <v>33000</v>
      </c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>
        <v>6600</v>
      </c>
      <c r="AV39" s="173">
        <v>6600</v>
      </c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</row>
    <row r="40" spans="1:67">
      <c r="A40" s="178">
        <v>5</v>
      </c>
      <c r="B40" s="181" t="s">
        <v>81</v>
      </c>
      <c r="C40" s="179" t="s">
        <v>275</v>
      </c>
      <c r="D40" s="179" t="s">
        <v>115</v>
      </c>
      <c r="E40" s="180">
        <v>49470</v>
      </c>
      <c r="F40" s="179" t="s">
        <v>281</v>
      </c>
      <c r="G40" s="179" t="s">
        <v>282</v>
      </c>
      <c r="H40" s="179" t="s">
        <v>283</v>
      </c>
      <c r="I40" s="179" t="s">
        <v>284</v>
      </c>
      <c r="J40" s="179" t="s">
        <v>275</v>
      </c>
      <c r="K40" s="179" t="s">
        <v>285</v>
      </c>
      <c r="L40" s="179" t="s">
        <v>121</v>
      </c>
      <c r="M40" s="180">
        <v>192196.58</v>
      </c>
      <c r="N40" s="210" t="s">
        <v>286</v>
      </c>
      <c r="O40" s="211">
        <f t="shared" si="8"/>
        <v>192196.58</v>
      </c>
      <c r="P40" s="212">
        <f t="shared" si="6"/>
        <v>1</v>
      </c>
      <c r="Q40" s="237">
        <f t="shared" si="9"/>
        <v>0</v>
      </c>
      <c r="R40" s="238">
        <f t="shared" si="7"/>
        <v>0</v>
      </c>
      <c r="S40" s="23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>
        <v>192196.58</v>
      </c>
      <c r="BJ40" s="179"/>
      <c r="BK40" s="179"/>
      <c r="BL40" s="179"/>
      <c r="BM40" s="179"/>
      <c r="BN40" s="179"/>
      <c r="BO40" s="179"/>
    </row>
    <row r="41" s="142" customFormat="1" ht="33.75" spans="1:67">
      <c r="A41" s="177">
        <v>6</v>
      </c>
      <c r="B41" s="157" t="s">
        <v>81</v>
      </c>
      <c r="C41" s="173" t="s">
        <v>259</v>
      </c>
      <c r="D41" s="173" t="s">
        <v>83</v>
      </c>
      <c r="E41" s="165">
        <v>6000</v>
      </c>
      <c r="F41" s="173" t="s">
        <v>287</v>
      </c>
      <c r="G41" s="173" t="s">
        <v>288</v>
      </c>
      <c r="H41" s="173" t="s">
        <v>289</v>
      </c>
      <c r="I41" s="173" t="s">
        <v>290</v>
      </c>
      <c r="J41" s="173" t="s">
        <v>259</v>
      </c>
      <c r="K41" s="173" t="s">
        <v>260</v>
      </c>
      <c r="L41" s="173" t="s">
        <v>121</v>
      </c>
      <c r="M41" s="165">
        <v>97986</v>
      </c>
      <c r="N41" s="213" t="s">
        <v>291</v>
      </c>
      <c r="O41" s="193">
        <f t="shared" si="8"/>
        <v>97986</v>
      </c>
      <c r="P41" s="194">
        <f t="shared" si="6"/>
        <v>1</v>
      </c>
      <c r="Q41" s="224">
        <f t="shared" si="9"/>
        <v>97986</v>
      </c>
      <c r="R41" s="225">
        <f t="shared" si="7"/>
        <v>1</v>
      </c>
      <c r="S41" s="236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>
        <v>29395.8</v>
      </c>
      <c r="AF41" s="173"/>
      <c r="AG41" s="173"/>
      <c r="AH41" s="173">
        <v>29395.8</v>
      </c>
      <c r="AI41" s="173"/>
      <c r="AJ41" s="173"/>
      <c r="AK41" s="173"/>
      <c r="AL41" s="173"/>
      <c r="AM41" s="173"/>
      <c r="AN41" s="173"/>
      <c r="AO41" s="173"/>
      <c r="AP41" s="173"/>
      <c r="AQ41" s="173">
        <v>48993</v>
      </c>
      <c r="AR41" s="173"/>
      <c r="AS41" s="173"/>
      <c r="AT41" s="173"/>
      <c r="AU41" s="173"/>
      <c r="AV41" s="173"/>
      <c r="AW41" s="173"/>
      <c r="AX41" s="173"/>
      <c r="AY41" s="173">
        <v>19597.2</v>
      </c>
      <c r="AZ41" s="173">
        <v>48993</v>
      </c>
      <c r="BA41" s="173"/>
      <c r="BB41" s="173"/>
      <c r="BC41" s="173"/>
      <c r="BD41" s="173"/>
      <c r="BE41" s="173"/>
      <c r="BF41" s="173">
        <v>19597.2</v>
      </c>
      <c r="BG41" s="173"/>
      <c r="BH41" s="173"/>
      <c r="BI41" s="173"/>
      <c r="BJ41" s="173"/>
      <c r="BK41" s="173"/>
      <c r="BL41" s="173"/>
      <c r="BM41" s="173"/>
      <c r="BN41" s="173"/>
      <c r="BO41" s="173"/>
    </row>
    <row r="42" s="142" customFormat="1" spans="1:67">
      <c r="A42" s="177">
        <v>7</v>
      </c>
      <c r="B42" s="157" t="s">
        <v>81</v>
      </c>
      <c r="C42" s="173" t="s">
        <v>292</v>
      </c>
      <c r="D42" s="173" t="s">
        <v>124</v>
      </c>
      <c r="E42" s="165">
        <v>20650</v>
      </c>
      <c r="F42" s="173" t="s">
        <v>293</v>
      </c>
      <c r="G42" s="173" t="s">
        <v>294</v>
      </c>
      <c r="H42" s="173" t="s">
        <v>295</v>
      </c>
      <c r="I42" s="173" t="s">
        <v>296</v>
      </c>
      <c r="J42" s="173" t="s">
        <v>297</v>
      </c>
      <c r="K42" s="173" t="s">
        <v>298</v>
      </c>
      <c r="L42" s="173" t="s">
        <v>121</v>
      </c>
      <c r="M42" s="165">
        <v>89040</v>
      </c>
      <c r="N42" s="173" t="s">
        <v>299</v>
      </c>
      <c r="O42" s="214">
        <f t="shared" si="8"/>
        <v>89040</v>
      </c>
      <c r="P42" s="194">
        <f t="shared" si="6"/>
        <v>1</v>
      </c>
      <c r="Q42" s="224">
        <f t="shared" si="9"/>
        <v>89040</v>
      </c>
      <c r="R42" s="225">
        <f t="shared" si="7"/>
        <v>1</v>
      </c>
      <c r="S42" s="236"/>
      <c r="T42" s="173"/>
      <c r="U42" s="173"/>
      <c r="V42" s="173"/>
      <c r="W42" s="173"/>
      <c r="X42" s="173"/>
      <c r="Y42" s="173">
        <v>89040</v>
      </c>
      <c r="Z42" s="173">
        <v>89040</v>
      </c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</row>
    <row r="43" s="142" customFormat="1" spans="1:67">
      <c r="A43" s="177">
        <v>8</v>
      </c>
      <c r="B43" s="157" t="s">
        <v>300</v>
      </c>
      <c r="C43" s="173" t="s">
        <v>272</v>
      </c>
      <c r="D43" s="173" t="s">
        <v>124</v>
      </c>
      <c r="E43" s="165">
        <v>4030</v>
      </c>
      <c r="F43" s="173" t="s">
        <v>301</v>
      </c>
      <c r="G43" s="173" t="s">
        <v>302</v>
      </c>
      <c r="H43" s="173" t="s">
        <v>303</v>
      </c>
      <c r="I43" s="173"/>
      <c r="J43" s="173" t="s">
        <v>272</v>
      </c>
      <c r="K43" s="173" t="s">
        <v>304</v>
      </c>
      <c r="L43" s="173" t="s">
        <v>121</v>
      </c>
      <c r="M43" s="165">
        <v>31000</v>
      </c>
      <c r="N43" s="215" t="s">
        <v>305</v>
      </c>
      <c r="O43" s="214">
        <f t="shared" si="8"/>
        <v>31000</v>
      </c>
      <c r="P43" s="194">
        <f t="shared" si="6"/>
        <v>1</v>
      </c>
      <c r="Q43" s="224">
        <f t="shared" si="9"/>
        <v>31000</v>
      </c>
      <c r="R43" s="225">
        <f t="shared" si="7"/>
        <v>1</v>
      </c>
      <c r="S43" s="236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>
        <v>31000</v>
      </c>
      <c r="AN43" s="173">
        <v>31000</v>
      </c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</row>
    <row r="44" spans="1:67">
      <c r="A44" s="174" t="s">
        <v>37</v>
      </c>
      <c r="B44" s="175"/>
      <c r="C44" s="175"/>
      <c r="D44" s="175"/>
      <c r="E44" s="176"/>
      <c r="F44" s="175"/>
      <c r="G44" s="175"/>
      <c r="H44" s="175"/>
      <c r="I44" s="175"/>
      <c r="J44" s="175"/>
      <c r="K44" s="175"/>
      <c r="L44" s="175"/>
      <c r="M44" s="176">
        <f>SUM(M36:M43)</f>
        <v>753002.58</v>
      </c>
      <c r="N44" s="207"/>
      <c r="O44" s="208">
        <f>SUM(O36:O43)</f>
        <v>753002.58</v>
      </c>
      <c r="P44" s="209">
        <f t="shared" ref="P44:P73" si="10">O44/M44</f>
        <v>1</v>
      </c>
      <c r="Q44" s="208">
        <f>SUM(Q36:Q43)</f>
        <v>560806</v>
      </c>
      <c r="R44" s="234">
        <f t="shared" ref="R44:R73" si="11">Q44/M44</f>
        <v>0.744759732430133</v>
      </c>
      <c r="S44" s="23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9"/>
    </row>
    <row r="45" spans="1:67">
      <c r="A45" s="174" t="s">
        <v>306</v>
      </c>
      <c r="B45" s="175"/>
      <c r="C45" s="175"/>
      <c r="D45" s="175"/>
      <c r="E45" s="176"/>
      <c r="F45" s="175"/>
      <c r="G45" s="175"/>
      <c r="H45" s="175"/>
      <c r="I45" s="175"/>
      <c r="J45" s="175"/>
      <c r="K45" s="175"/>
      <c r="L45" s="175"/>
      <c r="M45" s="176">
        <f>M35+M44</f>
        <v>3494380.58</v>
      </c>
      <c r="N45" s="207"/>
      <c r="O45" s="208">
        <f>O35+O44</f>
        <v>2747115.58</v>
      </c>
      <c r="P45" s="209">
        <f t="shared" si="10"/>
        <v>0.786152371531323</v>
      </c>
      <c r="Q45" s="208">
        <f>Q35+Q44</f>
        <v>2557919</v>
      </c>
      <c r="R45" s="234">
        <f t="shared" si="11"/>
        <v>0.732009276448074</v>
      </c>
      <c r="S45" s="23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9"/>
    </row>
    <row r="46" s="142" customFormat="1" ht="33.75" spans="1:67">
      <c r="A46" s="177" t="s">
        <v>307</v>
      </c>
      <c r="B46" s="157" t="s">
        <v>81</v>
      </c>
      <c r="C46" s="173" t="s">
        <v>308</v>
      </c>
      <c r="D46" s="173" t="s">
        <v>124</v>
      </c>
      <c r="E46" s="165">
        <v>5000</v>
      </c>
      <c r="F46" s="173" t="s">
        <v>309</v>
      </c>
      <c r="G46" s="173" t="s">
        <v>310</v>
      </c>
      <c r="H46" s="173" t="s">
        <v>311</v>
      </c>
      <c r="I46" s="173" t="s">
        <v>312</v>
      </c>
      <c r="J46" s="173" t="s">
        <v>313</v>
      </c>
      <c r="K46" s="173" t="s">
        <v>314</v>
      </c>
      <c r="L46" s="173" t="s">
        <v>88</v>
      </c>
      <c r="M46" s="165">
        <v>15000</v>
      </c>
      <c r="N46" s="213" t="s">
        <v>315</v>
      </c>
      <c r="O46" s="193">
        <f t="shared" ref="O46:O53" si="12">S46+U46+W46+Y46+AA46+AC46+AE46+AG46+AI46+AK46+AM46+AO46+AQ46+AS46+AU46+AW46+AY46+BA46+BC46+BE46+BG46+BI46+BK46+BM46</f>
        <v>15000</v>
      </c>
      <c r="P46" s="194">
        <f t="shared" si="10"/>
        <v>1</v>
      </c>
      <c r="Q46" s="224">
        <f t="shared" ref="Q46:Q53" si="13">T46+V46+X46+Z46+AB46+AD46+AF46+AH46+AJ46+AL46+AN46+AP46+AR46+AT46+AV46+AX46+AZ46+BB46+BD46+BF46+BH46+BJ46+BL46+BN46</f>
        <v>15000</v>
      </c>
      <c r="R46" s="225">
        <f t="shared" si="11"/>
        <v>1</v>
      </c>
      <c r="S46" s="236"/>
      <c r="T46" s="173"/>
      <c r="U46" s="173"/>
      <c r="V46" s="173"/>
      <c r="W46" s="173"/>
      <c r="X46" s="173"/>
      <c r="Y46" s="173"/>
      <c r="Z46" s="173"/>
      <c r="AA46" s="173">
        <v>15000</v>
      </c>
      <c r="AB46" s="173"/>
      <c r="AC46" s="173"/>
      <c r="AD46" s="173">
        <v>7500</v>
      </c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>
        <v>7500</v>
      </c>
      <c r="AY46" s="173"/>
      <c r="AZ46" s="173"/>
      <c r="BA46" s="173"/>
      <c r="BB46" s="173"/>
      <c r="BC46" s="173"/>
      <c r="BD46" s="173"/>
      <c r="BE46" s="173"/>
      <c r="BF46" s="173"/>
      <c r="BG46" s="173"/>
      <c r="BH46" s="173"/>
      <c r="BI46" s="173"/>
      <c r="BJ46" s="173"/>
      <c r="BK46" s="173"/>
      <c r="BL46" s="173"/>
      <c r="BM46" s="173"/>
      <c r="BN46" s="173"/>
      <c r="BO46" s="173"/>
    </row>
    <row r="47" s="142" customFormat="1" ht="22.5" spans="1:67">
      <c r="A47" s="177">
        <v>2</v>
      </c>
      <c r="B47" s="157" t="s">
        <v>81</v>
      </c>
      <c r="C47" s="173" t="s">
        <v>298</v>
      </c>
      <c r="D47" s="173"/>
      <c r="E47" s="165"/>
      <c r="F47" s="173" t="s">
        <v>316</v>
      </c>
      <c r="G47" s="173" t="s">
        <v>317</v>
      </c>
      <c r="H47" s="173" t="s">
        <v>318</v>
      </c>
      <c r="I47" s="173" t="s">
        <v>319</v>
      </c>
      <c r="J47" s="173" t="s">
        <v>320</v>
      </c>
      <c r="K47" s="173" t="s">
        <v>321</v>
      </c>
      <c r="L47" s="173" t="s">
        <v>121</v>
      </c>
      <c r="M47" s="165">
        <v>19829</v>
      </c>
      <c r="N47" s="213" t="s">
        <v>322</v>
      </c>
      <c r="O47" s="193">
        <f t="shared" si="12"/>
        <v>19829</v>
      </c>
      <c r="P47" s="194">
        <f t="shared" si="10"/>
        <v>1</v>
      </c>
      <c r="Q47" s="224">
        <f t="shared" si="13"/>
        <v>19829</v>
      </c>
      <c r="R47" s="225">
        <f t="shared" si="11"/>
        <v>1</v>
      </c>
      <c r="S47" s="236"/>
      <c r="T47" s="173"/>
      <c r="U47" s="173"/>
      <c r="V47" s="173"/>
      <c r="W47" s="173"/>
      <c r="X47" s="173"/>
      <c r="Y47" s="173"/>
      <c r="Z47" s="173">
        <v>7931.6</v>
      </c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>
        <v>19829</v>
      </c>
      <c r="AV47" s="173"/>
      <c r="AW47" s="173"/>
      <c r="AX47" s="173"/>
      <c r="AY47" s="173"/>
      <c r="AZ47" s="173">
        <v>11897.4</v>
      </c>
      <c r="BA47" s="173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</row>
    <row r="48" s="142" customFormat="1" ht="22.5" spans="1:67">
      <c r="A48" s="177">
        <v>3</v>
      </c>
      <c r="B48" s="157" t="s">
        <v>81</v>
      </c>
      <c r="C48" s="173" t="s">
        <v>323</v>
      </c>
      <c r="D48" s="173"/>
      <c r="E48" s="165" t="s">
        <v>136</v>
      </c>
      <c r="F48" s="173" t="s">
        <v>324</v>
      </c>
      <c r="G48" s="173" t="s">
        <v>325</v>
      </c>
      <c r="H48" s="173" t="s">
        <v>326</v>
      </c>
      <c r="I48" s="173" t="s">
        <v>327</v>
      </c>
      <c r="J48" s="173" t="s">
        <v>323</v>
      </c>
      <c r="K48" s="173" t="s">
        <v>328</v>
      </c>
      <c r="L48" s="173" t="s">
        <v>121</v>
      </c>
      <c r="M48" s="165">
        <v>100000</v>
      </c>
      <c r="N48" s="213" t="s">
        <v>329</v>
      </c>
      <c r="O48" s="193">
        <f t="shared" si="12"/>
        <v>100000</v>
      </c>
      <c r="P48" s="194">
        <f t="shared" si="10"/>
        <v>1</v>
      </c>
      <c r="Q48" s="224">
        <f t="shared" si="13"/>
        <v>100000</v>
      </c>
      <c r="R48" s="225">
        <f t="shared" si="11"/>
        <v>1</v>
      </c>
      <c r="S48" s="236"/>
      <c r="T48" s="173"/>
      <c r="U48" s="173"/>
      <c r="V48" s="173"/>
      <c r="W48" s="173"/>
      <c r="X48" s="173"/>
      <c r="Y48" s="173"/>
      <c r="Z48" s="173"/>
      <c r="AA48" s="173">
        <v>95000</v>
      </c>
      <c r="AB48" s="173"/>
      <c r="AC48" s="173"/>
      <c r="AD48" s="173">
        <v>95000</v>
      </c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>
        <v>5000</v>
      </c>
      <c r="BB48" s="173">
        <v>5000</v>
      </c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</row>
    <row r="49" s="142" customFormat="1" ht="22.5" spans="1:67">
      <c r="A49" s="182">
        <v>4</v>
      </c>
      <c r="B49" s="157" t="s">
        <v>81</v>
      </c>
      <c r="C49" s="173" t="s">
        <v>330</v>
      </c>
      <c r="D49" s="173" t="s">
        <v>115</v>
      </c>
      <c r="E49" s="165">
        <v>6000</v>
      </c>
      <c r="F49" s="173" t="s">
        <v>331</v>
      </c>
      <c r="G49" s="173" t="s">
        <v>332</v>
      </c>
      <c r="H49" s="173" t="s">
        <v>333</v>
      </c>
      <c r="I49" s="173" t="s">
        <v>334</v>
      </c>
      <c r="J49" s="173" t="s">
        <v>91</v>
      </c>
      <c r="K49" s="173" t="s">
        <v>335</v>
      </c>
      <c r="L49" s="173" t="s">
        <v>121</v>
      </c>
      <c r="M49" s="165">
        <v>95000</v>
      </c>
      <c r="N49" s="196" t="s">
        <v>336</v>
      </c>
      <c r="O49" s="193">
        <f t="shared" si="12"/>
        <v>95000</v>
      </c>
      <c r="P49" s="194">
        <f t="shared" si="10"/>
        <v>1</v>
      </c>
      <c r="Q49" s="224">
        <f t="shared" si="13"/>
        <v>95000</v>
      </c>
      <c r="R49" s="225">
        <f t="shared" si="11"/>
        <v>1</v>
      </c>
      <c r="S49" s="236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>
        <v>45000</v>
      </c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>
        <v>95000</v>
      </c>
      <c r="AZ49" s="173">
        <v>50000</v>
      </c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</row>
    <row r="50" ht="22.5" spans="1:67">
      <c r="A50" s="178">
        <v>5</v>
      </c>
      <c r="B50" s="181" t="s">
        <v>81</v>
      </c>
      <c r="C50" s="179" t="s">
        <v>337</v>
      </c>
      <c r="D50" s="147" t="s">
        <v>124</v>
      </c>
      <c r="E50" s="180">
        <v>16100</v>
      </c>
      <c r="F50" s="179" t="s">
        <v>338</v>
      </c>
      <c r="G50" s="179" t="s">
        <v>339</v>
      </c>
      <c r="H50" s="179" t="s">
        <v>340</v>
      </c>
      <c r="I50" s="179" t="s">
        <v>341</v>
      </c>
      <c r="J50" s="179" t="s">
        <v>337</v>
      </c>
      <c r="K50" s="179" t="s">
        <v>342</v>
      </c>
      <c r="L50" s="179" t="s">
        <v>343</v>
      </c>
      <c r="M50" s="180">
        <v>126000</v>
      </c>
      <c r="N50" s="216" t="s">
        <v>344</v>
      </c>
      <c r="O50" s="211">
        <f t="shared" si="12"/>
        <v>119700</v>
      </c>
      <c r="P50" s="212">
        <f t="shared" si="10"/>
        <v>0.95</v>
      </c>
      <c r="Q50" s="237">
        <f t="shared" si="13"/>
        <v>119700</v>
      </c>
      <c r="R50" s="238">
        <f t="shared" si="11"/>
        <v>0.95</v>
      </c>
      <c r="S50" s="239"/>
      <c r="T50" s="179"/>
      <c r="U50" s="179"/>
      <c r="V50" s="179"/>
      <c r="W50" s="179"/>
      <c r="X50" s="179"/>
      <c r="Y50" s="179"/>
      <c r="Z50" s="179"/>
      <c r="AA50" s="179"/>
      <c r="AB50" s="179"/>
      <c r="AC50" s="179">
        <v>119700</v>
      </c>
      <c r="AD50" s="179">
        <v>119700</v>
      </c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</row>
    <row r="51" s="142" customFormat="1" ht="33.75" spans="1:67">
      <c r="A51" s="177">
        <v>6</v>
      </c>
      <c r="B51" s="157" t="s">
        <v>81</v>
      </c>
      <c r="C51" s="173" t="s">
        <v>292</v>
      </c>
      <c r="D51" s="173" t="s">
        <v>83</v>
      </c>
      <c r="E51" s="165">
        <v>4000</v>
      </c>
      <c r="F51" s="173" t="s">
        <v>345</v>
      </c>
      <c r="G51" s="173" t="s">
        <v>346</v>
      </c>
      <c r="H51" s="173" t="s">
        <v>347</v>
      </c>
      <c r="I51" s="173" t="s">
        <v>348</v>
      </c>
      <c r="J51" s="173" t="s">
        <v>330</v>
      </c>
      <c r="K51" s="173" t="s">
        <v>349</v>
      </c>
      <c r="L51" s="173" t="s">
        <v>121</v>
      </c>
      <c r="M51" s="165">
        <v>35000</v>
      </c>
      <c r="N51" s="213" t="s">
        <v>350</v>
      </c>
      <c r="O51" s="193">
        <f t="shared" si="12"/>
        <v>35000</v>
      </c>
      <c r="P51" s="194">
        <f t="shared" si="10"/>
        <v>1</v>
      </c>
      <c r="Q51" s="224">
        <f t="shared" si="13"/>
        <v>35000</v>
      </c>
      <c r="R51" s="225">
        <f t="shared" si="11"/>
        <v>1</v>
      </c>
      <c r="S51" s="236"/>
      <c r="T51" s="173"/>
      <c r="U51" s="173"/>
      <c r="V51" s="173"/>
      <c r="W51" s="173"/>
      <c r="X51" s="173"/>
      <c r="Y51" s="173"/>
      <c r="Z51" s="173"/>
      <c r="AA51" s="173">
        <v>35000</v>
      </c>
      <c r="AB51" s="173">
        <v>10500</v>
      </c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>
        <v>14000</v>
      </c>
      <c r="AU51" s="173"/>
      <c r="AV51" s="173"/>
      <c r="AW51" s="173"/>
      <c r="AX51" s="173">
        <v>10500</v>
      </c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</row>
    <row r="52" s="142" customFormat="1" spans="1:67">
      <c r="A52" s="177">
        <v>7</v>
      </c>
      <c r="B52" s="173" t="s">
        <v>230</v>
      </c>
      <c r="C52" s="173" t="s">
        <v>351</v>
      </c>
      <c r="D52" s="173"/>
      <c r="E52" s="165"/>
      <c r="F52" s="173" t="s">
        <v>345</v>
      </c>
      <c r="G52" s="173" t="s">
        <v>346</v>
      </c>
      <c r="H52" s="173" t="s">
        <v>352</v>
      </c>
      <c r="I52" s="173" t="s">
        <v>353</v>
      </c>
      <c r="J52" s="173" t="s">
        <v>351</v>
      </c>
      <c r="K52" s="173" t="s">
        <v>354</v>
      </c>
      <c r="L52" s="173" t="s">
        <v>121</v>
      </c>
      <c r="M52" s="165">
        <v>5270</v>
      </c>
      <c r="N52" s="205" t="s">
        <v>355</v>
      </c>
      <c r="O52" s="193">
        <f t="shared" si="12"/>
        <v>5270</v>
      </c>
      <c r="P52" s="194">
        <f t="shared" si="10"/>
        <v>1</v>
      </c>
      <c r="Q52" s="224">
        <f t="shared" si="13"/>
        <v>5270</v>
      </c>
      <c r="R52" s="225">
        <f t="shared" si="11"/>
        <v>1</v>
      </c>
      <c r="S52" s="236"/>
      <c r="T52" s="173"/>
      <c r="U52" s="173"/>
      <c r="V52" s="173"/>
      <c r="W52" s="173"/>
      <c r="X52" s="173"/>
      <c r="Y52" s="173"/>
      <c r="Z52" s="173"/>
      <c r="AA52" s="173">
        <v>5270</v>
      </c>
      <c r="AB52" s="173">
        <v>5270</v>
      </c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</row>
    <row r="53" s="142" customFormat="1" ht="22.5" spans="1:67">
      <c r="A53" s="177">
        <v>8</v>
      </c>
      <c r="B53" s="157" t="s">
        <v>81</v>
      </c>
      <c r="C53" s="173"/>
      <c r="D53" s="173" t="s">
        <v>83</v>
      </c>
      <c r="E53" s="165">
        <v>28400</v>
      </c>
      <c r="F53" s="173" t="s">
        <v>356</v>
      </c>
      <c r="G53" s="173" t="s">
        <v>357</v>
      </c>
      <c r="H53" s="173" t="s">
        <v>358</v>
      </c>
      <c r="I53" s="173" t="s">
        <v>359</v>
      </c>
      <c r="J53" s="173" t="s">
        <v>259</v>
      </c>
      <c r="K53" s="173" t="s">
        <v>360</v>
      </c>
      <c r="L53" s="173" t="s">
        <v>252</v>
      </c>
      <c r="M53" s="165">
        <v>69000</v>
      </c>
      <c r="N53" s="213" t="s">
        <v>361</v>
      </c>
      <c r="O53" s="193">
        <f t="shared" si="12"/>
        <v>69000</v>
      </c>
      <c r="P53" s="194">
        <f t="shared" si="10"/>
        <v>1</v>
      </c>
      <c r="Q53" s="224">
        <f t="shared" si="13"/>
        <v>69000</v>
      </c>
      <c r="R53" s="225">
        <f t="shared" si="11"/>
        <v>1</v>
      </c>
      <c r="S53" s="236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>
        <v>34500</v>
      </c>
      <c r="AJ53" s="173">
        <v>34500</v>
      </c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>
        <v>34500</v>
      </c>
      <c r="AV53" s="173"/>
      <c r="AW53" s="173"/>
      <c r="AX53" s="173">
        <v>34500</v>
      </c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</row>
    <row r="54" spans="1:67">
      <c r="A54" s="178">
        <v>10</v>
      </c>
      <c r="B54" s="179" t="s">
        <v>362</v>
      </c>
      <c r="C54" s="179" t="s">
        <v>363</v>
      </c>
      <c r="D54" s="147" t="s">
        <v>124</v>
      </c>
      <c r="E54" s="180">
        <v>245</v>
      </c>
      <c r="F54" s="179" t="s">
        <v>364</v>
      </c>
      <c r="G54" s="179" t="s">
        <v>365</v>
      </c>
      <c r="H54" s="179" t="s">
        <v>366</v>
      </c>
      <c r="I54" s="179" t="s">
        <v>367</v>
      </c>
      <c r="J54" s="179" t="s">
        <v>363</v>
      </c>
      <c r="K54" s="179" t="s">
        <v>354</v>
      </c>
      <c r="L54" s="179" t="s">
        <v>368</v>
      </c>
      <c r="M54" s="180">
        <v>2510</v>
      </c>
      <c r="N54" s="210" t="s">
        <v>369</v>
      </c>
      <c r="O54" s="211">
        <f t="shared" ref="O54:O62" si="14">S54+U54+W54+Y54+AA54+AC54+AE54+AG54+AI54+AK54+AM54+AO54+AQ54+AS54+AU54+AW54+AY54+BA54+BC54+BE54+BG54+BI54+BK54+BM54</f>
        <v>0</v>
      </c>
      <c r="P54" s="212">
        <f t="shared" si="10"/>
        <v>0</v>
      </c>
      <c r="Q54" s="237">
        <f t="shared" ref="Q54:Q62" si="15">T54+V54+X54+Z54+AB54+AD54+AF54+AH54+AJ54+AL54+AN54+AP54+AR54+AT54+AV54+AX54+AZ54+BB54+BD54+BF54+BH54+BJ54+BL54+BN54</f>
        <v>0</v>
      </c>
      <c r="R54" s="238">
        <f t="shared" si="11"/>
        <v>0</v>
      </c>
      <c r="S54" s="23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</row>
    <row r="55" s="142" customFormat="1" spans="1:67">
      <c r="A55" s="177">
        <v>11</v>
      </c>
      <c r="B55" s="173" t="s">
        <v>370</v>
      </c>
      <c r="C55" s="173" t="s">
        <v>363</v>
      </c>
      <c r="D55" s="173" t="s">
        <v>124</v>
      </c>
      <c r="E55" s="165">
        <v>2850</v>
      </c>
      <c r="F55" s="173" t="s">
        <v>371</v>
      </c>
      <c r="G55" s="173" t="s">
        <v>372</v>
      </c>
      <c r="H55" s="173" t="s">
        <v>366</v>
      </c>
      <c r="I55" s="173"/>
      <c r="J55" s="173" t="s">
        <v>363</v>
      </c>
      <c r="K55" s="173" t="s">
        <v>373</v>
      </c>
      <c r="L55" s="173" t="s">
        <v>368</v>
      </c>
      <c r="M55" s="165" t="s">
        <v>374</v>
      </c>
      <c r="N55" s="205" t="s">
        <v>375</v>
      </c>
      <c r="O55" s="193">
        <f t="shared" si="14"/>
        <v>9000</v>
      </c>
      <c r="P55" s="194" t="e">
        <f t="shared" si="10"/>
        <v>#VALUE!</v>
      </c>
      <c r="Q55" s="224">
        <f t="shared" si="15"/>
        <v>9000</v>
      </c>
      <c r="R55" s="225" t="e">
        <f t="shared" si="11"/>
        <v>#VALUE!</v>
      </c>
      <c r="S55" s="236"/>
      <c r="T55" s="173"/>
      <c r="U55" s="173"/>
      <c r="V55" s="173"/>
      <c r="W55" s="173"/>
      <c r="X55" s="173"/>
      <c r="Y55" s="173"/>
      <c r="Z55" s="173"/>
      <c r="AA55" s="173">
        <v>9000</v>
      </c>
      <c r="AB55" s="173">
        <v>9000</v>
      </c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</row>
    <row r="56" s="142" customFormat="1" spans="1:67">
      <c r="A56" s="177">
        <v>12</v>
      </c>
      <c r="B56" s="173" t="s">
        <v>370</v>
      </c>
      <c r="C56" s="173" t="s">
        <v>376</v>
      </c>
      <c r="D56" s="173" t="s">
        <v>124</v>
      </c>
      <c r="E56" s="165">
        <v>1555</v>
      </c>
      <c r="F56" s="173" t="s">
        <v>377</v>
      </c>
      <c r="G56" s="173" t="s">
        <v>378</v>
      </c>
      <c r="H56" s="183" t="s">
        <v>379</v>
      </c>
      <c r="I56" s="173" t="s">
        <v>380</v>
      </c>
      <c r="J56" s="173" t="s">
        <v>376</v>
      </c>
      <c r="K56" s="173" t="s">
        <v>381</v>
      </c>
      <c r="L56" s="173" t="s">
        <v>368</v>
      </c>
      <c r="M56" s="165">
        <v>5200</v>
      </c>
      <c r="N56" s="205" t="s">
        <v>382</v>
      </c>
      <c r="O56" s="193">
        <f t="shared" si="14"/>
        <v>5200</v>
      </c>
      <c r="P56" s="194">
        <f t="shared" si="10"/>
        <v>1</v>
      </c>
      <c r="Q56" s="224">
        <f t="shared" si="15"/>
        <v>5200</v>
      </c>
      <c r="R56" s="225">
        <f t="shared" si="11"/>
        <v>1</v>
      </c>
      <c r="S56" s="236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>
        <v>5200</v>
      </c>
      <c r="AL56" s="173">
        <v>5200</v>
      </c>
      <c r="AM56" s="173"/>
      <c r="AN56" s="173"/>
      <c r="AO56" s="173"/>
      <c r="AP56" s="173"/>
      <c r="AQ56" s="173"/>
      <c r="AR56" s="173"/>
      <c r="AS56" s="173"/>
      <c r="AT56" s="173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</row>
    <row r="57" s="142" customFormat="1" spans="1:67">
      <c r="A57" s="177">
        <v>13</v>
      </c>
      <c r="B57" s="173" t="s">
        <v>383</v>
      </c>
      <c r="C57" s="173" t="s">
        <v>384</v>
      </c>
      <c r="D57" s="173" t="s">
        <v>124</v>
      </c>
      <c r="E57" s="165">
        <v>4050</v>
      </c>
      <c r="F57" s="173" t="s">
        <v>385</v>
      </c>
      <c r="G57" s="173" t="s">
        <v>386</v>
      </c>
      <c r="H57" s="183" t="s">
        <v>289</v>
      </c>
      <c r="I57" s="173" t="s">
        <v>387</v>
      </c>
      <c r="J57" s="173" t="s">
        <v>384</v>
      </c>
      <c r="K57" s="173" t="s">
        <v>363</v>
      </c>
      <c r="L57" s="173" t="s">
        <v>368</v>
      </c>
      <c r="M57" s="165">
        <v>43000</v>
      </c>
      <c r="N57" s="205" t="s">
        <v>388</v>
      </c>
      <c r="O57" s="193">
        <f t="shared" si="14"/>
        <v>43000</v>
      </c>
      <c r="P57" s="194">
        <f t="shared" si="10"/>
        <v>1</v>
      </c>
      <c r="Q57" s="224">
        <f t="shared" si="15"/>
        <v>43000</v>
      </c>
      <c r="R57" s="225">
        <f t="shared" si="11"/>
        <v>1</v>
      </c>
      <c r="S57" s="236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>
        <v>43000</v>
      </c>
      <c r="AL57" s="173"/>
      <c r="AM57" s="173"/>
      <c r="AN57" s="173">
        <v>43000</v>
      </c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</row>
    <row r="58" s="142" customFormat="1" spans="1:67">
      <c r="A58" s="177">
        <v>14</v>
      </c>
      <c r="B58" s="173" t="s">
        <v>90</v>
      </c>
      <c r="C58" s="173" t="s">
        <v>308</v>
      </c>
      <c r="D58" s="173"/>
      <c r="E58" s="165"/>
      <c r="F58" s="173" t="s">
        <v>389</v>
      </c>
      <c r="G58" s="173" t="s">
        <v>390</v>
      </c>
      <c r="H58" s="183" t="s">
        <v>391</v>
      </c>
      <c r="I58" s="173" t="s">
        <v>392</v>
      </c>
      <c r="J58" s="173" t="s">
        <v>393</v>
      </c>
      <c r="K58" s="173" t="s">
        <v>394</v>
      </c>
      <c r="L58" s="173" t="s">
        <v>395</v>
      </c>
      <c r="M58" s="165">
        <v>20000</v>
      </c>
      <c r="N58" s="205" t="s">
        <v>396</v>
      </c>
      <c r="O58" s="193">
        <f t="shared" si="14"/>
        <v>20000</v>
      </c>
      <c r="P58" s="194">
        <f t="shared" si="10"/>
        <v>1</v>
      </c>
      <c r="Q58" s="224">
        <f t="shared" si="15"/>
        <v>20000</v>
      </c>
      <c r="R58" s="225">
        <f t="shared" si="11"/>
        <v>1</v>
      </c>
      <c r="S58" s="236"/>
      <c r="T58" s="173"/>
      <c r="U58" s="173"/>
      <c r="V58" s="173"/>
      <c r="W58" s="173"/>
      <c r="X58" s="173"/>
      <c r="Y58" s="173"/>
      <c r="Z58" s="173"/>
      <c r="AA58" s="173"/>
      <c r="AB58" s="173"/>
      <c r="AC58" s="173">
        <v>20000</v>
      </c>
      <c r="AD58" s="173">
        <v>20000</v>
      </c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</row>
    <row r="59" s="142" customFormat="1" spans="1:67">
      <c r="A59" s="177">
        <v>15</v>
      </c>
      <c r="B59" s="173" t="s">
        <v>90</v>
      </c>
      <c r="C59" s="173" t="s">
        <v>308</v>
      </c>
      <c r="D59" s="173"/>
      <c r="E59" s="165"/>
      <c r="F59" s="173" t="s">
        <v>389</v>
      </c>
      <c r="G59" s="173" t="s">
        <v>390</v>
      </c>
      <c r="H59" s="183"/>
      <c r="I59" s="173" t="s">
        <v>397</v>
      </c>
      <c r="J59" s="173"/>
      <c r="K59" s="173"/>
      <c r="L59" s="173" t="s">
        <v>395</v>
      </c>
      <c r="M59" s="165">
        <v>120000</v>
      </c>
      <c r="N59" s="205" t="s">
        <v>396</v>
      </c>
      <c r="O59" s="193">
        <f t="shared" si="14"/>
        <v>120000</v>
      </c>
      <c r="P59" s="194">
        <f t="shared" si="10"/>
        <v>1</v>
      </c>
      <c r="Q59" s="224">
        <f t="shared" si="15"/>
        <v>120000</v>
      </c>
      <c r="R59" s="225">
        <f t="shared" si="11"/>
        <v>1</v>
      </c>
      <c r="S59" s="236"/>
      <c r="T59" s="173"/>
      <c r="U59" s="173"/>
      <c r="V59" s="173"/>
      <c r="W59" s="173"/>
      <c r="X59" s="173"/>
      <c r="Y59" s="173"/>
      <c r="Z59" s="173"/>
      <c r="AA59" s="173"/>
      <c r="AB59" s="173"/>
      <c r="AC59" s="173">
        <v>120000</v>
      </c>
      <c r="AD59" s="173">
        <v>120000</v>
      </c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</row>
    <row r="60" spans="1:67">
      <c r="A60" s="174" t="s">
        <v>39</v>
      </c>
      <c r="B60" s="175"/>
      <c r="C60" s="175"/>
      <c r="D60" s="175"/>
      <c r="E60" s="176"/>
      <c r="F60" s="175"/>
      <c r="G60" s="175"/>
      <c r="H60" s="175"/>
      <c r="I60" s="175"/>
      <c r="J60" s="175"/>
      <c r="K60" s="175"/>
      <c r="L60" s="175"/>
      <c r="M60" s="206">
        <f>SUM(M46:M59)</f>
        <v>655809</v>
      </c>
      <c r="N60" s="207"/>
      <c r="O60" s="208">
        <f>SUM(O46:O59)</f>
        <v>655999</v>
      </c>
      <c r="P60" s="209">
        <f t="shared" si="10"/>
        <v>1.00028971850036</v>
      </c>
      <c r="Q60" s="208">
        <f>SUM(Q46:Q59)</f>
        <v>655999</v>
      </c>
      <c r="R60" s="234">
        <f t="shared" si="11"/>
        <v>1.00028971850036</v>
      </c>
      <c r="S60" s="23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9"/>
    </row>
    <row r="61" spans="1:67">
      <c r="A61" s="174" t="s">
        <v>398</v>
      </c>
      <c r="B61" s="175"/>
      <c r="C61" s="175"/>
      <c r="D61" s="175"/>
      <c r="E61" s="176"/>
      <c r="F61" s="175"/>
      <c r="G61" s="175"/>
      <c r="H61" s="175"/>
      <c r="I61" s="175"/>
      <c r="J61" s="175"/>
      <c r="K61" s="175"/>
      <c r="L61" s="175"/>
      <c r="M61" s="176">
        <f>M45+M60</f>
        <v>4150189.58</v>
      </c>
      <c r="N61" s="207"/>
      <c r="O61" s="208">
        <f>O45+O60</f>
        <v>3403114.58</v>
      </c>
      <c r="P61" s="209">
        <f t="shared" si="10"/>
        <v>0.819990150907757</v>
      </c>
      <c r="Q61" s="208">
        <f>Q45+Q60</f>
        <v>3213918</v>
      </c>
      <c r="R61" s="234">
        <f t="shared" si="11"/>
        <v>0.774402696081175</v>
      </c>
      <c r="S61" s="23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9"/>
    </row>
    <row r="62" s="142" customFormat="1" spans="1:67">
      <c r="A62" s="184">
        <v>1</v>
      </c>
      <c r="B62" s="173" t="s">
        <v>81</v>
      </c>
      <c r="C62" s="173" t="s">
        <v>399</v>
      </c>
      <c r="D62" s="173" t="s">
        <v>124</v>
      </c>
      <c r="E62" s="165">
        <v>2120</v>
      </c>
      <c r="F62" s="173" t="s">
        <v>400</v>
      </c>
      <c r="G62" s="173" t="s">
        <v>401</v>
      </c>
      <c r="H62" s="173" t="s">
        <v>402</v>
      </c>
      <c r="I62" s="173" t="s">
        <v>403</v>
      </c>
      <c r="J62" s="173" t="s">
        <v>404</v>
      </c>
      <c r="K62" s="173" t="s">
        <v>405</v>
      </c>
      <c r="L62" s="173" t="s">
        <v>121</v>
      </c>
      <c r="M62" s="165">
        <v>10000</v>
      </c>
      <c r="N62" s="205" t="s">
        <v>406</v>
      </c>
      <c r="O62" s="193">
        <f t="shared" ref="O62:O70" si="16">S62+U62+W62+Y62+AA62+AC62+AE62+AG62+AI62+AK62+AM62+AO62+AQ62+AS62+AU62+AW62+AY62+BA62+BC62+BE62+BG62+BI62+BK62+BM62</f>
        <v>10000</v>
      </c>
      <c r="P62" s="194">
        <f t="shared" si="10"/>
        <v>1</v>
      </c>
      <c r="Q62" s="224">
        <f t="shared" ref="Q62:Q70" si="17">T62+V62+X62+Z62+AB62+AD62+AF62+AH62+AJ62+AL62+AN62+AP62+AR62+AT62+AV62+AX62+AZ62+BB62+BD62+BF62+BH62+BJ62+BL62+BN62</f>
        <v>10000</v>
      </c>
      <c r="R62" s="225">
        <f t="shared" si="11"/>
        <v>1</v>
      </c>
      <c r="S62" s="236"/>
      <c r="T62" s="173"/>
      <c r="U62" s="173"/>
      <c r="V62" s="173"/>
      <c r="W62" s="173"/>
      <c r="X62" s="173"/>
      <c r="Y62" s="173"/>
      <c r="Z62" s="173"/>
      <c r="AA62" s="173">
        <v>10000</v>
      </c>
      <c r="AB62" s="173">
        <v>10000</v>
      </c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/>
      <c r="BN62" s="173"/>
      <c r="BO62" s="173"/>
    </row>
    <row r="63" s="142" customFormat="1" ht="22.5" spans="1:67">
      <c r="A63" s="184">
        <v>2</v>
      </c>
      <c r="B63" s="173" t="s">
        <v>90</v>
      </c>
      <c r="C63" s="173" t="s">
        <v>337</v>
      </c>
      <c r="D63" s="173"/>
      <c r="E63" s="165"/>
      <c r="F63" s="173" t="s">
        <v>407</v>
      </c>
      <c r="G63" s="173" t="s">
        <v>408</v>
      </c>
      <c r="H63" s="173" t="s">
        <v>139</v>
      </c>
      <c r="I63" s="173" t="s">
        <v>409</v>
      </c>
      <c r="J63" s="173" t="s">
        <v>405</v>
      </c>
      <c r="K63" s="173" t="s">
        <v>410</v>
      </c>
      <c r="L63" s="173" t="s">
        <v>368</v>
      </c>
      <c r="M63" s="165">
        <v>252746.55</v>
      </c>
      <c r="N63" s="213" t="s">
        <v>411</v>
      </c>
      <c r="O63" s="193">
        <f t="shared" si="16"/>
        <v>252746.55</v>
      </c>
      <c r="P63" s="194">
        <f t="shared" si="10"/>
        <v>1</v>
      </c>
      <c r="Q63" s="224">
        <f t="shared" si="17"/>
        <v>252746.55</v>
      </c>
      <c r="R63" s="225">
        <f t="shared" si="11"/>
        <v>1</v>
      </c>
      <c r="S63" s="236"/>
      <c r="T63" s="173"/>
      <c r="U63" s="173"/>
      <c r="V63" s="173"/>
      <c r="W63" s="173"/>
      <c r="X63" s="173"/>
      <c r="Y63" s="173"/>
      <c r="Z63" s="173"/>
      <c r="AA63" s="173">
        <v>139500</v>
      </c>
      <c r="AB63" s="173">
        <v>139500</v>
      </c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>
        <v>113246.55</v>
      </c>
      <c r="AN63" s="173">
        <v>113246.55</v>
      </c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</row>
    <row r="64" s="142" customFormat="1" ht="22.5" spans="1:67">
      <c r="A64" s="184" t="s">
        <v>412</v>
      </c>
      <c r="B64" s="173" t="s">
        <v>81</v>
      </c>
      <c r="C64" s="173" t="s">
        <v>413</v>
      </c>
      <c r="D64" s="173" t="s">
        <v>124</v>
      </c>
      <c r="E64" s="165">
        <v>19600</v>
      </c>
      <c r="F64" s="173" t="s">
        <v>414</v>
      </c>
      <c r="G64" s="173" t="s">
        <v>415</v>
      </c>
      <c r="H64" s="173" t="s">
        <v>416</v>
      </c>
      <c r="I64" s="173" t="s">
        <v>417</v>
      </c>
      <c r="J64" s="173" t="s">
        <v>259</v>
      </c>
      <c r="K64" s="173" t="s">
        <v>260</v>
      </c>
      <c r="L64" s="173" t="s">
        <v>368</v>
      </c>
      <c r="M64" s="165">
        <v>88934</v>
      </c>
      <c r="N64" s="213" t="s">
        <v>418</v>
      </c>
      <c r="O64" s="193">
        <f t="shared" si="16"/>
        <v>88934</v>
      </c>
      <c r="P64" s="194">
        <f t="shared" si="10"/>
        <v>1</v>
      </c>
      <c r="Q64" s="224">
        <f t="shared" si="17"/>
        <v>88934</v>
      </c>
      <c r="R64" s="225">
        <f t="shared" si="11"/>
        <v>1</v>
      </c>
      <c r="S64" s="236"/>
      <c r="T64" s="173"/>
      <c r="U64" s="173"/>
      <c r="V64" s="173"/>
      <c r="W64" s="173"/>
      <c r="X64" s="173"/>
      <c r="Y64" s="173"/>
      <c r="Z64" s="173"/>
      <c r="AA64" s="173"/>
      <c r="AB64" s="173"/>
      <c r="AC64" s="173">
        <v>44467</v>
      </c>
      <c r="AD64" s="173"/>
      <c r="AE64" s="173"/>
      <c r="AF64" s="173"/>
      <c r="AG64" s="173"/>
      <c r="AH64" s="173">
        <v>44467</v>
      </c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>
        <v>44467</v>
      </c>
      <c r="AX64" s="173"/>
      <c r="AY64" s="173"/>
      <c r="AZ64" s="173">
        <v>44467</v>
      </c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</row>
    <row r="65" s="142" customFormat="1" ht="33.75" spans="1:67">
      <c r="A65" s="184" t="s">
        <v>419</v>
      </c>
      <c r="B65" s="173" t="s">
        <v>81</v>
      </c>
      <c r="C65" s="173" t="s">
        <v>420</v>
      </c>
      <c r="D65" s="173" t="s">
        <v>124</v>
      </c>
      <c r="E65" s="165">
        <v>6000</v>
      </c>
      <c r="F65" s="173" t="s">
        <v>421</v>
      </c>
      <c r="G65" s="173" t="s">
        <v>422</v>
      </c>
      <c r="H65" s="173" t="s">
        <v>423</v>
      </c>
      <c r="I65" s="173" t="s">
        <v>424</v>
      </c>
      <c r="J65" s="173" t="s">
        <v>381</v>
      </c>
      <c r="K65" s="173" t="s">
        <v>425</v>
      </c>
      <c r="L65" s="173" t="s">
        <v>368</v>
      </c>
      <c r="M65" s="165">
        <v>20000</v>
      </c>
      <c r="N65" s="213" t="s">
        <v>426</v>
      </c>
      <c r="O65" s="193">
        <f t="shared" si="16"/>
        <v>16000</v>
      </c>
      <c r="P65" s="194">
        <f t="shared" si="10"/>
        <v>0.8</v>
      </c>
      <c r="Q65" s="224">
        <f t="shared" si="17"/>
        <v>16000</v>
      </c>
      <c r="R65" s="225">
        <f t="shared" si="11"/>
        <v>0.8</v>
      </c>
      <c r="S65" s="236"/>
      <c r="T65" s="173"/>
      <c r="U65" s="173"/>
      <c r="V65" s="173"/>
      <c r="W65" s="173"/>
      <c r="X65" s="173"/>
      <c r="Y65" s="173"/>
      <c r="Z65" s="173"/>
      <c r="AA65" s="173">
        <v>16000</v>
      </c>
      <c r="AB65" s="173">
        <v>16000</v>
      </c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</row>
    <row r="66" s="142" customFormat="1" ht="22.5" spans="1:67">
      <c r="A66" s="184">
        <v>5</v>
      </c>
      <c r="B66" s="173" t="s">
        <v>81</v>
      </c>
      <c r="C66" s="173" t="s">
        <v>427</v>
      </c>
      <c r="D66" s="173" t="s">
        <v>428</v>
      </c>
      <c r="E66" s="165">
        <v>16550</v>
      </c>
      <c r="F66" s="173" t="s">
        <v>429</v>
      </c>
      <c r="G66" s="173" t="s">
        <v>430</v>
      </c>
      <c r="H66" s="173" t="s">
        <v>431</v>
      </c>
      <c r="I66" s="173" t="s">
        <v>432</v>
      </c>
      <c r="J66" s="173" t="s">
        <v>433</v>
      </c>
      <c r="K66" s="173" t="s">
        <v>434</v>
      </c>
      <c r="L66" s="173" t="s">
        <v>343</v>
      </c>
      <c r="M66" s="165">
        <v>105000</v>
      </c>
      <c r="N66" s="213" t="s">
        <v>435</v>
      </c>
      <c r="O66" s="193">
        <f t="shared" si="16"/>
        <v>105000</v>
      </c>
      <c r="P66" s="194">
        <f t="shared" si="10"/>
        <v>1</v>
      </c>
      <c r="Q66" s="224">
        <f t="shared" si="17"/>
        <v>105000</v>
      </c>
      <c r="R66" s="225">
        <f t="shared" si="11"/>
        <v>1</v>
      </c>
      <c r="S66" s="236"/>
      <c r="T66" s="173"/>
      <c r="U66" s="173"/>
      <c r="V66" s="173"/>
      <c r="W66" s="173"/>
      <c r="X66" s="173"/>
      <c r="Y66" s="173"/>
      <c r="Z66" s="173"/>
      <c r="AA66" s="173"/>
      <c r="AB66" s="173"/>
      <c r="AC66" s="173">
        <v>31500</v>
      </c>
      <c r="AD66" s="173">
        <v>31500</v>
      </c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>
        <v>73500</v>
      </c>
      <c r="AX66" s="173"/>
      <c r="AY66" s="173"/>
      <c r="AZ66" s="173"/>
      <c r="BA66" s="173"/>
      <c r="BB66" s="173">
        <v>73500</v>
      </c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</row>
    <row r="67" s="142" customFormat="1" ht="33.75" spans="1:67">
      <c r="A67" s="184" t="s">
        <v>436</v>
      </c>
      <c r="B67" s="173" t="s">
        <v>81</v>
      </c>
      <c r="C67" s="173" t="s">
        <v>427</v>
      </c>
      <c r="D67" s="173" t="s">
        <v>124</v>
      </c>
      <c r="E67" s="165">
        <v>3470</v>
      </c>
      <c r="F67" s="173" t="s">
        <v>437</v>
      </c>
      <c r="G67" s="173" t="s">
        <v>438</v>
      </c>
      <c r="H67" s="173" t="s">
        <v>439</v>
      </c>
      <c r="I67" s="173" t="s">
        <v>440</v>
      </c>
      <c r="J67" s="173" t="s">
        <v>381</v>
      </c>
      <c r="K67" s="173" t="s">
        <v>425</v>
      </c>
      <c r="L67" s="173" t="s">
        <v>368</v>
      </c>
      <c r="M67" s="165">
        <v>22000</v>
      </c>
      <c r="N67" s="213" t="s">
        <v>441</v>
      </c>
      <c r="O67" s="193">
        <f t="shared" si="16"/>
        <v>22000</v>
      </c>
      <c r="P67" s="194">
        <f t="shared" si="10"/>
        <v>1</v>
      </c>
      <c r="Q67" s="224">
        <f t="shared" si="17"/>
        <v>22000</v>
      </c>
      <c r="R67" s="225">
        <f t="shared" si="11"/>
        <v>1</v>
      </c>
      <c r="S67" s="236"/>
      <c r="T67" s="173"/>
      <c r="U67" s="173"/>
      <c r="V67" s="173"/>
      <c r="W67" s="173"/>
      <c r="X67" s="173"/>
      <c r="Y67" s="173"/>
      <c r="Z67" s="173"/>
      <c r="AA67" s="173">
        <v>22000</v>
      </c>
      <c r="AB67" s="173"/>
      <c r="AC67" s="173"/>
      <c r="AD67" s="173">
        <v>19800</v>
      </c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>
        <v>2200</v>
      </c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</row>
    <row r="68" s="142" customFormat="1" spans="1:67">
      <c r="A68" s="184">
        <v>7</v>
      </c>
      <c r="B68" s="173" t="s">
        <v>442</v>
      </c>
      <c r="C68" s="173"/>
      <c r="D68" s="173"/>
      <c r="E68" s="165"/>
      <c r="F68" s="173" t="s">
        <v>443</v>
      </c>
      <c r="G68" s="173" t="s">
        <v>444</v>
      </c>
      <c r="H68" s="173" t="s">
        <v>445</v>
      </c>
      <c r="I68" s="173" t="s">
        <v>446</v>
      </c>
      <c r="J68" s="173" t="s">
        <v>330</v>
      </c>
      <c r="K68" s="173" t="s">
        <v>447</v>
      </c>
      <c r="L68" s="173" t="s">
        <v>395</v>
      </c>
      <c r="M68" s="165">
        <v>131711</v>
      </c>
      <c r="N68" s="205" t="s">
        <v>448</v>
      </c>
      <c r="O68" s="193">
        <f t="shared" si="16"/>
        <v>131711</v>
      </c>
      <c r="P68" s="194">
        <f t="shared" si="10"/>
        <v>1</v>
      </c>
      <c r="Q68" s="224">
        <f t="shared" si="17"/>
        <v>131711</v>
      </c>
      <c r="R68" s="225">
        <f t="shared" si="11"/>
        <v>1</v>
      </c>
      <c r="S68" s="236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>
        <v>131711</v>
      </c>
      <c r="AP68" s="173">
        <v>131711</v>
      </c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</row>
    <row r="69" s="142" customFormat="1" spans="1:67">
      <c r="A69" s="184">
        <v>8</v>
      </c>
      <c r="B69" s="173" t="s">
        <v>81</v>
      </c>
      <c r="C69" s="173" t="s">
        <v>447</v>
      </c>
      <c r="D69" s="173" t="s">
        <v>115</v>
      </c>
      <c r="E69" s="165">
        <v>7220</v>
      </c>
      <c r="F69" s="173" t="s">
        <v>449</v>
      </c>
      <c r="G69" s="173" t="s">
        <v>450</v>
      </c>
      <c r="H69" s="173" t="s">
        <v>451</v>
      </c>
      <c r="I69" s="173" t="s">
        <v>452</v>
      </c>
      <c r="J69" s="173" t="s">
        <v>447</v>
      </c>
      <c r="K69" s="173" t="s">
        <v>453</v>
      </c>
      <c r="L69" s="173" t="s">
        <v>368</v>
      </c>
      <c r="M69" s="165">
        <v>56000</v>
      </c>
      <c r="N69" s="205" t="s">
        <v>454</v>
      </c>
      <c r="O69" s="193">
        <f t="shared" si="16"/>
        <v>56000</v>
      </c>
      <c r="P69" s="194">
        <f t="shared" si="10"/>
        <v>1</v>
      </c>
      <c r="Q69" s="224">
        <f t="shared" si="17"/>
        <v>56000</v>
      </c>
      <c r="R69" s="225">
        <f t="shared" si="11"/>
        <v>1</v>
      </c>
      <c r="S69" s="236"/>
      <c r="T69" s="173"/>
      <c r="U69" s="173"/>
      <c r="V69" s="173"/>
      <c r="W69" s="173"/>
      <c r="X69" s="173"/>
      <c r="Y69" s="173"/>
      <c r="Z69" s="173"/>
      <c r="AA69" s="173"/>
      <c r="AB69" s="173"/>
      <c r="AC69" s="173">
        <v>56000</v>
      </c>
      <c r="AD69" s="173"/>
      <c r="AE69" s="173"/>
      <c r="AF69" s="173">
        <v>56000</v>
      </c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3"/>
      <c r="BE69" s="173"/>
      <c r="BF69" s="173"/>
      <c r="BG69" s="173"/>
      <c r="BH69" s="173"/>
      <c r="BI69" s="173"/>
      <c r="BJ69" s="173"/>
      <c r="BK69" s="173"/>
      <c r="BL69" s="173"/>
      <c r="BM69" s="173"/>
      <c r="BN69" s="173"/>
      <c r="BO69" s="173"/>
    </row>
    <row r="70" s="142" customFormat="1" ht="22.5" spans="1:67">
      <c r="A70" s="184">
        <v>9</v>
      </c>
      <c r="B70" s="173" t="s">
        <v>362</v>
      </c>
      <c r="C70" s="173" t="s">
        <v>304</v>
      </c>
      <c r="D70" s="173" t="s">
        <v>83</v>
      </c>
      <c r="E70" s="165">
        <v>15045</v>
      </c>
      <c r="F70" s="173" t="s">
        <v>455</v>
      </c>
      <c r="G70" s="173" t="s">
        <v>456</v>
      </c>
      <c r="H70" s="173" t="s">
        <v>457</v>
      </c>
      <c r="I70" s="173" t="s">
        <v>458</v>
      </c>
      <c r="J70" s="173" t="s">
        <v>459</v>
      </c>
      <c r="K70" s="173" t="s">
        <v>460</v>
      </c>
      <c r="L70" s="173" t="s">
        <v>461</v>
      </c>
      <c r="M70" s="245">
        <v>97000</v>
      </c>
      <c r="N70" s="213" t="s">
        <v>462</v>
      </c>
      <c r="O70" s="193">
        <f t="shared" si="16"/>
        <v>97000</v>
      </c>
      <c r="P70" s="194">
        <f t="shared" si="10"/>
        <v>1</v>
      </c>
      <c r="Q70" s="224">
        <f t="shared" si="17"/>
        <v>97000</v>
      </c>
      <c r="R70" s="225">
        <f t="shared" si="11"/>
        <v>1</v>
      </c>
      <c r="S70" s="236"/>
      <c r="T70" s="173"/>
      <c r="U70" s="173"/>
      <c r="V70" s="173"/>
      <c r="W70" s="173"/>
      <c r="X70" s="173"/>
      <c r="Y70" s="173"/>
      <c r="Z70" s="173"/>
      <c r="AA70" s="173">
        <v>58200</v>
      </c>
      <c r="AB70" s="173">
        <v>58200</v>
      </c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>
        <v>38800</v>
      </c>
      <c r="AZ70" s="173">
        <v>38800</v>
      </c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</row>
    <row r="71" s="143" customFormat="1" ht="13.5" spans="1:67">
      <c r="A71" s="184">
        <v>10</v>
      </c>
      <c r="B71" s="173"/>
      <c r="C71" s="173"/>
      <c r="D71" s="173" t="s">
        <v>124</v>
      </c>
      <c r="E71" s="165">
        <v>3200</v>
      </c>
      <c r="F71" s="173" t="s">
        <v>463</v>
      </c>
      <c r="G71" s="173" t="s">
        <v>456</v>
      </c>
      <c r="H71" s="173" t="s">
        <v>464</v>
      </c>
      <c r="I71" s="173" t="s">
        <v>465</v>
      </c>
      <c r="J71" s="173"/>
      <c r="K71" s="173"/>
      <c r="L71" s="173" t="s">
        <v>461</v>
      </c>
      <c r="M71" s="246"/>
      <c r="N71" s="213"/>
      <c r="O71" s="193"/>
      <c r="P71" s="194"/>
      <c r="Q71" s="224"/>
      <c r="R71" s="225"/>
      <c r="S71" s="236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  <c r="BM71" s="173"/>
      <c r="BN71" s="173"/>
      <c r="BO71" s="173"/>
    </row>
    <row r="72" s="142" customFormat="1" ht="22.5" spans="1:67">
      <c r="A72" s="184">
        <v>11</v>
      </c>
      <c r="B72" s="173" t="s">
        <v>81</v>
      </c>
      <c r="C72" s="173"/>
      <c r="D72" s="173" t="s">
        <v>124</v>
      </c>
      <c r="E72" s="165">
        <v>10500</v>
      </c>
      <c r="F72" s="173" t="s">
        <v>466</v>
      </c>
      <c r="G72" s="173" t="s">
        <v>467</v>
      </c>
      <c r="H72" s="173" t="s">
        <v>468</v>
      </c>
      <c r="I72" s="173" t="s">
        <v>469</v>
      </c>
      <c r="J72" s="173" t="s">
        <v>381</v>
      </c>
      <c r="K72" s="173" t="s">
        <v>405</v>
      </c>
      <c r="L72" s="173" t="s">
        <v>368</v>
      </c>
      <c r="M72" s="165">
        <v>46000</v>
      </c>
      <c r="N72" s="213" t="s">
        <v>470</v>
      </c>
      <c r="O72" s="193">
        <f t="shared" ref="O72:O83" si="18">S72+U72+W72+Y72+AA72+AC72+AE72+AG72+AI72+AK72+AM72+AO72+AQ72+AS72+AU72+AW72+AY72+BA72+BC72+BE72+BG72+BI72+BK72+BM72</f>
        <v>46000</v>
      </c>
      <c r="P72" s="194">
        <f t="shared" ref="P72:P100" si="19">O72/M72</f>
        <v>1</v>
      </c>
      <c r="Q72" s="224">
        <f t="shared" ref="Q72:Q83" si="20">T72+V72+X72+Z72+AB72+AD72+AF72+AH72+AJ72+AL72+AN72+AP72+AR72+AT72+AV72+AX72+AZ72+BB72+BD72+BF72+BH72+BJ72+BL72+BN72</f>
        <v>46000</v>
      </c>
      <c r="R72" s="225">
        <f t="shared" ref="R72:R100" si="21">Q72/M72</f>
        <v>1</v>
      </c>
      <c r="S72" s="236"/>
      <c r="T72" s="173"/>
      <c r="U72" s="173"/>
      <c r="V72" s="173"/>
      <c r="W72" s="173"/>
      <c r="X72" s="173"/>
      <c r="Y72" s="173"/>
      <c r="Z72" s="173"/>
      <c r="AA72" s="173">
        <v>32200</v>
      </c>
      <c r="AB72" s="173"/>
      <c r="AC72" s="173"/>
      <c r="AD72" s="173"/>
      <c r="AE72" s="173"/>
      <c r="AF72" s="173"/>
      <c r="AG72" s="173"/>
      <c r="AH72" s="173">
        <v>32200</v>
      </c>
      <c r="AI72" s="173"/>
      <c r="AJ72" s="173"/>
      <c r="AK72" s="173"/>
      <c r="AL72" s="173"/>
      <c r="AM72" s="173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>
        <v>13800</v>
      </c>
      <c r="AX72" s="173">
        <v>13800</v>
      </c>
      <c r="AY72" s="173"/>
      <c r="AZ72" s="173"/>
      <c r="BA72" s="173"/>
      <c r="BB72" s="173"/>
      <c r="BC72" s="173"/>
      <c r="BD72" s="173"/>
      <c r="BE72" s="173"/>
      <c r="BF72" s="173"/>
      <c r="BG72" s="173"/>
      <c r="BH72" s="173"/>
      <c r="BI72" s="173"/>
      <c r="BJ72" s="173"/>
      <c r="BK72" s="173"/>
      <c r="BL72" s="173"/>
      <c r="BM72" s="173"/>
      <c r="BN72" s="173"/>
      <c r="BO72" s="173"/>
    </row>
    <row r="73" ht="22.5" spans="1:67">
      <c r="A73" s="243">
        <v>12</v>
      </c>
      <c r="B73" s="179" t="s">
        <v>471</v>
      </c>
      <c r="C73" s="179" t="s">
        <v>381</v>
      </c>
      <c r="D73" s="147" t="s">
        <v>115</v>
      </c>
      <c r="E73" s="180">
        <v>71400</v>
      </c>
      <c r="F73" s="179" t="s">
        <v>472</v>
      </c>
      <c r="G73" s="179" t="s">
        <v>473</v>
      </c>
      <c r="H73" s="179" t="s">
        <v>139</v>
      </c>
      <c r="I73" s="179" t="s">
        <v>474</v>
      </c>
      <c r="J73" s="179" t="s">
        <v>475</v>
      </c>
      <c r="K73" s="179" t="s">
        <v>453</v>
      </c>
      <c r="L73" s="179" t="s">
        <v>368</v>
      </c>
      <c r="M73" s="180">
        <v>696000</v>
      </c>
      <c r="N73" s="216" t="s">
        <v>476</v>
      </c>
      <c r="O73" s="211">
        <f t="shared" si="18"/>
        <v>696000</v>
      </c>
      <c r="P73" s="212">
        <f t="shared" si="19"/>
        <v>1</v>
      </c>
      <c r="Q73" s="237">
        <f t="shared" si="20"/>
        <v>0</v>
      </c>
      <c r="R73" s="238">
        <f t="shared" si="21"/>
        <v>0</v>
      </c>
      <c r="S73" s="23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>
        <v>696000</v>
      </c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  <c r="BE73" s="179"/>
      <c r="BF73" s="179"/>
      <c r="BG73" s="179"/>
      <c r="BH73" s="179"/>
      <c r="BI73" s="179"/>
      <c r="BJ73" s="179"/>
      <c r="BK73" s="179"/>
      <c r="BL73" s="179"/>
      <c r="BM73" s="179"/>
      <c r="BN73" s="179"/>
      <c r="BO73" s="179"/>
    </row>
    <row r="74" s="142" customFormat="1" spans="1:67">
      <c r="A74" s="184">
        <v>13</v>
      </c>
      <c r="B74" s="173" t="s">
        <v>230</v>
      </c>
      <c r="C74" s="173" t="s">
        <v>477</v>
      </c>
      <c r="D74" s="173" t="s">
        <v>124</v>
      </c>
      <c r="E74" s="165">
        <v>245</v>
      </c>
      <c r="F74" s="173" t="s">
        <v>478</v>
      </c>
      <c r="G74" s="173" t="s">
        <v>302</v>
      </c>
      <c r="H74" s="173" t="s">
        <v>479</v>
      </c>
      <c r="I74" s="173" t="s">
        <v>480</v>
      </c>
      <c r="J74" s="173" t="s">
        <v>477</v>
      </c>
      <c r="K74" s="173" t="s">
        <v>481</v>
      </c>
      <c r="L74" s="173" t="s">
        <v>368</v>
      </c>
      <c r="M74" s="165">
        <v>3500</v>
      </c>
      <c r="N74" s="213" t="s">
        <v>396</v>
      </c>
      <c r="O74" s="193">
        <f t="shared" si="18"/>
        <v>3500</v>
      </c>
      <c r="P74" s="194">
        <f t="shared" si="19"/>
        <v>1</v>
      </c>
      <c r="Q74" s="224">
        <f t="shared" si="20"/>
        <v>3500</v>
      </c>
      <c r="R74" s="225">
        <f t="shared" si="21"/>
        <v>1</v>
      </c>
      <c r="S74" s="236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>
        <v>3500</v>
      </c>
      <c r="AN74" s="173">
        <v>3500</v>
      </c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/>
      <c r="BN74" s="173"/>
      <c r="BO74" s="173"/>
    </row>
    <row r="75" s="142" customFormat="1" spans="1:67">
      <c r="A75" s="184">
        <v>14</v>
      </c>
      <c r="B75" s="173" t="s">
        <v>230</v>
      </c>
      <c r="C75" s="173"/>
      <c r="D75" s="173"/>
      <c r="E75" s="165"/>
      <c r="F75" s="173" t="s">
        <v>147</v>
      </c>
      <c r="G75" s="173" t="s">
        <v>148</v>
      </c>
      <c r="H75" s="173" t="s">
        <v>482</v>
      </c>
      <c r="I75" s="173" t="s">
        <v>483</v>
      </c>
      <c r="J75" s="173" t="s">
        <v>484</v>
      </c>
      <c r="K75" s="173" t="s">
        <v>485</v>
      </c>
      <c r="L75" s="173" t="s">
        <v>368</v>
      </c>
      <c r="M75" s="165">
        <v>9094.4</v>
      </c>
      <c r="N75" s="213" t="s">
        <v>486</v>
      </c>
      <c r="O75" s="193">
        <f t="shared" si="18"/>
        <v>9094.4</v>
      </c>
      <c r="P75" s="194">
        <f t="shared" si="19"/>
        <v>1</v>
      </c>
      <c r="Q75" s="224">
        <f t="shared" si="20"/>
        <v>9094.4</v>
      </c>
      <c r="R75" s="225">
        <f t="shared" si="21"/>
        <v>1</v>
      </c>
      <c r="S75" s="236"/>
      <c r="T75" s="173"/>
      <c r="U75" s="173"/>
      <c r="V75" s="173"/>
      <c r="W75" s="173"/>
      <c r="X75" s="173"/>
      <c r="Y75" s="173"/>
      <c r="Z75" s="173"/>
      <c r="AA75" s="173">
        <v>9094.4</v>
      </c>
      <c r="AB75" s="173">
        <v>9094.4</v>
      </c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3"/>
      <c r="BL75" s="173"/>
      <c r="BM75" s="173"/>
      <c r="BN75" s="173"/>
      <c r="BO75" s="173"/>
    </row>
    <row r="76" s="142" customFormat="1" spans="1:67">
      <c r="A76" s="184">
        <v>15</v>
      </c>
      <c r="B76" s="173" t="s">
        <v>230</v>
      </c>
      <c r="C76" s="173"/>
      <c r="D76" s="173"/>
      <c r="E76" s="165"/>
      <c r="F76" s="173" t="s">
        <v>487</v>
      </c>
      <c r="G76" s="173" t="s">
        <v>488</v>
      </c>
      <c r="H76" s="173" t="s">
        <v>489</v>
      </c>
      <c r="I76" s="173" t="s">
        <v>490</v>
      </c>
      <c r="J76" s="173" t="s">
        <v>420</v>
      </c>
      <c r="K76" s="173" t="s">
        <v>491</v>
      </c>
      <c r="L76" s="173" t="s">
        <v>368</v>
      </c>
      <c r="M76" s="165">
        <v>1700</v>
      </c>
      <c r="N76" s="213" t="s">
        <v>486</v>
      </c>
      <c r="O76" s="193">
        <f t="shared" si="18"/>
        <v>1700</v>
      </c>
      <c r="P76" s="194">
        <f t="shared" si="19"/>
        <v>1</v>
      </c>
      <c r="Q76" s="224">
        <f t="shared" si="20"/>
        <v>1700</v>
      </c>
      <c r="R76" s="225">
        <f t="shared" si="21"/>
        <v>1</v>
      </c>
      <c r="S76" s="236"/>
      <c r="T76" s="173"/>
      <c r="U76" s="173"/>
      <c r="V76" s="173"/>
      <c r="W76" s="173"/>
      <c r="X76" s="173"/>
      <c r="Y76" s="173"/>
      <c r="Z76" s="173"/>
      <c r="AA76" s="173">
        <v>1700</v>
      </c>
      <c r="AB76" s="173">
        <v>1700</v>
      </c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</row>
    <row r="77" s="141" customFormat="1" spans="1:67">
      <c r="A77" s="243">
        <v>16</v>
      </c>
      <c r="B77" s="171" t="s">
        <v>383</v>
      </c>
      <c r="C77" s="141" t="s">
        <v>491</v>
      </c>
      <c r="E77" s="244"/>
      <c r="F77" s="171" t="s">
        <v>492</v>
      </c>
      <c r="G77" s="171" t="s">
        <v>493</v>
      </c>
      <c r="H77" s="171" t="s">
        <v>494</v>
      </c>
      <c r="I77" s="171" t="s">
        <v>495</v>
      </c>
      <c r="J77" s="171" t="s">
        <v>491</v>
      </c>
      <c r="K77" s="171" t="s">
        <v>484</v>
      </c>
      <c r="L77" s="171" t="s">
        <v>496</v>
      </c>
      <c r="M77" s="172">
        <v>2818.8</v>
      </c>
      <c r="N77" s="202" t="s">
        <v>497</v>
      </c>
      <c r="O77" s="203">
        <f t="shared" si="18"/>
        <v>0</v>
      </c>
      <c r="P77" s="204">
        <f t="shared" si="19"/>
        <v>0</v>
      </c>
      <c r="Q77" s="231">
        <f t="shared" si="20"/>
        <v>0</v>
      </c>
      <c r="R77" s="232">
        <f t="shared" si="21"/>
        <v>0</v>
      </c>
      <c r="S77" s="247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1"/>
    </row>
    <row r="78" s="142" customFormat="1" spans="1:67">
      <c r="A78" s="184">
        <v>17</v>
      </c>
      <c r="B78" s="173" t="s">
        <v>230</v>
      </c>
      <c r="C78" s="173" t="s">
        <v>453</v>
      </c>
      <c r="D78" s="173"/>
      <c r="E78" s="165" t="s">
        <v>173</v>
      </c>
      <c r="F78" s="173" t="s">
        <v>174</v>
      </c>
      <c r="G78" s="173" t="s">
        <v>175</v>
      </c>
      <c r="H78" s="173" t="s">
        <v>498</v>
      </c>
      <c r="I78" s="173" t="s">
        <v>499</v>
      </c>
      <c r="J78" s="173" t="s">
        <v>453</v>
      </c>
      <c r="K78" s="173" t="s">
        <v>500</v>
      </c>
      <c r="L78" s="173" t="s">
        <v>368</v>
      </c>
      <c r="M78" s="165">
        <v>14616</v>
      </c>
      <c r="N78" s="213" t="s">
        <v>501</v>
      </c>
      <c r="O78" s="193">
        <f t="shared" si="18"/>
        <v>14616</v>
      </c>
      <c r="P78" s="194">
        <f t="shared" si="19"/>
        <v>1</v>
      </c>
      <c r="Q78" s="224">
        <f t="shared" si="20"/>
        <v>14616</v>
      </c>
      <c r="R78" s="225">
        <f t="shared" si="21"/>
        <v>1</v>
      </c>
      <c r="S78" s="236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>
        <v>14616</v>
      </c>
      <c r="AJ78" s="173">
        <v>14616</v>
      </c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3"/>
      <c r="BA78" s="173"/>
      <c r="BB78" s="173"/>
      <c r="BC78" s="173"/>
      <c r="BD78" s="173"/>
      <c r="BE78" s="173"/>
      <c r="BF78" s="173"/>
      <c r="BG78" s="173"/>
      <c r="BH78" s="173"/>
      <c r="BI78" s="173"/>
      <c r="BJ78" s="173"/>
      <c r="BK78" s="173"/>
      <c r="BL78" s="173"/>
      <c r="BM78" s="173"/>
      <c r="BN78" s="173"/>
      <c r="BO78" s="173"/>
    </row>
    <row r="79" s="142" customFormat="1" ht="22.5" spans="1:67">
      <c r="A79" s="184">
        <v>18</v>
      </c>
      <c r="B79" s="173" t="s">
        <v>383</v>
      </c>
      <c r="C79" s="173" t="s">
        <v>502</v>
      </c>
      <c r="D79" s="173" t="s">
        <v>124</v>
      </c>
      <c r="E79" s="165">
        <v>2880</v>
      </c>
      <c r="F79" s="173" t="s">
        <v>503</v>
      </c>
      <c r="G79" s="173" t="s">
        <v>504</v>
      </c>
      <c r="H79" s="173" t="s">
        <v>468</v>
      </c>
      <c r="I79" s="173" t="s">
        <v>387</v>
      </c>
      <c r="J79" s="173" t="s">
        <v>502</v>
      </c>
      <c r="K79" s="173" t="s">
        <v>505</v>
      </c>
      <c r="L79" s="173" t="s">
        <v>368</v>
      </c>
      <c r="M79" s="165">
        <v>13000</v>
      </c>
      <c r="N79" s="213" t="s">
        <v>506</v>
      </c>
      <c r="O79" s="193">
        <f t="shared" si="18"/>
        <v>13000</v>
      </c>
      <c r="P79" s="194">
        <f t="shared" si="19"/>
        <v>1</v>
      </c>
      <c r="Q79" s="224">
        <f t="shared" si="20"/>
        <v>13000</v>
      </c>
      <c r="R79" s="225">
        <f t="shared" si="21"/>
        <v>1</v>
      </c>
      <c r="S79" s="236"/>
      <c r="T79" s="173"/>
      <c r="U79" s="173"/>
      <c r="V79" s="173"/>
      <c r="W79" s="173"/>
      <c r="X79" s="173"/>
      <c r="Y79" s="173"/>
      <c r="Z79" s="173"/>
      <c r="AA79" s="173"/>
      <c r="AB79" s="173">
        <v>6000</v>
      </c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>
        <v>13000</v>
      </c>
      <c r="AN79" s="173"/>
      <c r="AO79" s="173"/>
      <c r="AP79" s="173">
        <v>7000</v>
      </c>
      <c r="AQ79" s="173"/>
      <c r="AR79" s="173"/>
      <c r="AS79" s="173"/>
      <c r="AT79" s="173"/>
      <c r="AU79" s="173"/>
      <c r="AV79" s="173"/>
      <c r="AW79" s="173"/>
      <c r="AX79" s="173"/>
      <c r="AY79" s="173"/>
      <c r="AZ79" s="173"/>
      <c r="BA79" s="173"/>
      <c r="BB79" s="173"/>
      <c r="BC79" s="173"/>
      <c r="BD79" s="173"/>
      <c r="BE79" s="173"/>
      <c r="BF79" s="173"/>
      <c r="BG79" s="173"/>
      <c r="BH79" s="173"/>
      <c r="BI79" s="173"/>
      <c r="BJ79" s="173"/>
      <c r="BK79" s="173"/>
      <c r="BL79" s="173"/>
      <c r="BM79" s="173"/>
      <c r="BN79" s="173"/>
      <c r="BO79" s="173"/>
    </row>
    <row r="80" ht="33.75" spans="1:67">
      <c r="A80" s="243">
        <v>19</v>
      </c>
      <c r="B80" s="179" t="s">
        <v>507</v>
      </c>
      <c r="C80" s="179" t="s">
        <v>381</v>
      </c>
      <c r="D80" s="147" t="s">
        <v>124</v>
      </c>
      <c r="E80" s="180">
        <v>26600</v>
      </c>
      <c r="F80" s="179" t="s">
        <v>508</v>
      </c>
      <c r="G80" s="179" t="s">
        <v>509</v>
      </c>
      <c r="H80" s="179" t="s">
        <v>139</v>
      </c>
      <c r="I80" s="179" t="s">
        <v>510</v>
      </c>
      <c r="J80" s="179" t="s">
        <v>381</v>
      </c>
      <c r="K80" s="179" t="s">
        <v>511</v>
      </c>
      <c r="L80" s="179" t="s">
        <v>368</v>
      </c>
      <c r="M80" s="180">
        <v>317374.14</v>
      </c>
      <c r="N80" s="216" t="s">
        <v>512</v>
      </c>
      <c r="O80" s="211">
        <f t="shared" si="18"/>
        <v>317374.14</v>
      </c>
      <c r="P80" s="212">
        <f t="shared" si="19"/>
        <v>1</v>
      </c>
      <c r="Q80" s="237">
        <f t="shared" si="20"/>
        <v>135210.18</v>
      </c>
      <c r="R80" s="238">
        <f t="shared" si="21"/>
        <v>0.426027716057773</v>
      </c>
      <c r="S80" s="23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>
        <v>65160</v>
      </c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>
        <v>317374.14</v>
      </c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>
        <v>70050.18</v>
      </c>
      <c r="BO80" s="179"/>
    </row>
    <row r="81" s="142" customFormat="1" spans="1:67">
      <c r="A81" s="184">
        <v>20</v>
      </c>
      <c r="B81" s="173" t="s">
        <v>513</v>
      </c>
      <c r="C81" s="173" t="s">
        <v>453</v>
      </c>
      <c r="D81" s="173" t="s">
        <v>514</v>
      </c>
      <c r="E81" s="165"/>
      <c r="F81" s="173" t="s">
        <v>515</v>
      </c>
      <c r="G81" s="173" t="s">
        <v>516</v>
      </c>
      <c r="H81" s="173" t="s">
        <v>498</v>
      </c>
      <c r="I81" s="173" t="s">
        <v>517</v>
      </c>
      <c r="J81" s="173" t="s">
        <v>453</v>
      </c>
      <c r="K81" s="173" t="s">
        <v>518</v>
      </c>
      <c r="L81" s="173" t="s">
        <v>368</v>
      </c>
      <c r="M81" s="165">
        <v>3800</v>
      </c>
      <c r="N81" s="213" t="s">
        <v>519</v>
      </c>
      <c r="O81" s="193">
        <f t="shared" si="18"/>
        <v>3800</v>
      </c>
      <c r="P81" s="194">
        <f t="shared" si="19"/>
        <v>1</v>
      </c>
      <c r="Q81" s="224">
        <f t="shared" si="20"/>
        <v>3800</v>
      </c>
      <c r="R81" s="225">
        <f t="shared" si="21"/>
        <v>1</v>
      </c>
      <c r="S81" s="236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>
        <v>3800</v>
      </c>
      <c r="AL81" s="173">
        <v>3800</v>
      </c>
      <c r="AM81" s="173"/>
      <c r="AN81" s="173"/>
      <c r="AO81" s="173"/>
      <c r="AP81" s="173"/>
      <c r="AQ81" s="173"/>
      <c r="AR81" s="173"/>
      <c r="AS81" s="173"/>
      <c r="AT81" s="173"/>
      <c r="AU81" s="173"/>
      <c r="AV81" s="173"/>
      <c r="AW81" s="173"/>
      <c r="AX81" s="173"/>
      <c r="AY81" s="173"/>
      <c r="AZ81" s="173"/>
      <c r="BA81" s="173"/>
      <c r="BB81" s="173"/>
      <c r="BC81" s="173"/>
      <c r="BD81" s="173"/>
      <c r="BE81" s="173"/>
      <c r="BF81" s="173"/>
      <c r="BG81" s="173"/>
      <c r="BH81" s="173"/>
      <c r="BI81" s="173"/>
      <c r="BJ81" s="173"/>
      <c r="BK81" s="173"/>
      <c r="BL81" s="173"/>
      <c r="BM81" s="173"/>
      <c r="BN81" s="173"/>
      <c r="BO81" s="173"/>
    </row>
    <row r="82" s="142" customFormat="1" spans="1:67">
      <c r="A82" s="184">
        <v>21</v>
      </c>
      <c r="B82" s="173" t="s">
        <v>383</v>
      </c>
      <c r="C82" s="173" t="s">
        <v>420</v>
      </c>
      <c r="D82" s="173" t="s">
        <v>514</v>
      </c>
      <c r="E82" s="165"/>
      <c r="F82" s="173" t="s">
        <v>356</v>
      </c>
      <c r="G82" s="173" t="s">
        <v>357</v>
      </c>
      <c r="H82" s="173" t="s">
        <v>520</v>
      </c>
      <c r="I82" s="173" t="s">
        <v>521</v>
      </c>
      <c r="J82" s="173" t="s">
        <v>420</v>
      </c>
      <c r="K82" s="173" t="s">
        <v>522</v>
      </c>
      <c r="L82" s="173" t="s">
        <v>523</v>
      </c>
      <c r="M82" s="165">
        <v>9450</v>
      </c>
      <c r="N82" s="205" t="s">
        <v>524</v>
      </c>
      <c r="O82" s="193">
        <f t="shared" si="18"/>
        <v>9450</v>
      </c>
      <c r="P82" s="194">
        <f t="shared" si="19"/>
        <v>1</v>
      </c>
      <c r="Q82" s="224">
        <f t="shared" si="20"/>
        <v>9450</v>
      </c>
      <c r="R82" s="225">
        <f t="shared" si="21"/>
        <v>1</v>
      </c>
      <c r="S82" s="236"/>
      <c r="T82" s="173"/>
      <c r="U82" s="173"/>
      <c r="V82" s="173"/>
      <c r="W82" s="173"/>
      <c r="X82" s="173"/>
      <c r="Y82" s="173"/>
      <c r="Z82" s="173"/>
      <c r="AA82" s="173"/>
      <c r="AB82" s="173"/>
      <c r="AC82" s="173">
        <v>9450</v>
      </c>
      <c r="AD82" s="173">
        <v>9450</v>
      </c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3"/>
      <c r="BE82" s="173"/>
      <c r="BF82" s="173"/>
      <c r="BG82" s="173"/>
      <c r="BH82" s="173"/>
      <c r="BI82" s="173"/>
      <c r="BJ82" s="173"/>
      <c r="BK82" s="173"/>
      <c r="BL82" s="173"/>
      <c r="BM82" s="173"/>
      <c r="BN82" s="173"/>
      <c r="BO82" s="173"/>
    </row>
    <row r="83" spans="1:67">
      <c r="A83" s="174" t="s">
        <v>41</v>
      </c>
      <c r="B83" s="175"/>
      <c r="C83" s="175"/>
      <c r="D83" s="175"/>
      <c r="E83" s="176"/>
      <c r="F83" s="175"/>
      <c r="G83" s="175"/>
      <c r="H83" s="175"/>
      <c r="I83" s="175"/>
      <c r="J83" s="175"/>
      <c r="K83" s="175"/>
      <c r="L83" s="175"/>
      <c r="M83" s="206">
        <f>SUM(M62:M82)</f>
        <v>1900744.89</v>
      </c>
      <c r="N83" s="207"/>
      <c r="O83" s="208">
        <f>SUM(O62:O82)</f>
        <v>1893926.09</v>
      </c>
      <c r="P83" s="209">
        <f t="shared" si="19"/>
        <v>0.996412564339447</v>
      </c>
      <c r="Q83" s="208">
        <f>SUM(Q62:Q82)</f>
        <v>1015762.13</v>
      </c>
      <c r="R83" s="234">
        <f t="shared" si="21"/>
        <v>0.53440213641716</v>
      </c>
      <c r="S83" s="23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175"/>
      <c r="BN83" s="175"/>
      <c r="BO83" s="179"/>
    </row>
    <row r="84" spans="1:67">
      <c r="A84" s="174" t="s">
        <v>525</v>
      </c>
      <c r="B84" s="175"/>
      <c r="C84" s="175"/>
      <c r="D84" s="175"/>
      <c r="E84" s="176"/>
      <c r="F84" s="175"/>
      <c r="G84" s="175"/>
      <c r="H84" s="175"/>
      <c r="I84" s="175"/>
      <c r="J84" s="175"/>
      <c r="K84" s="175"/>
      <c r="L84" s="175"/>
      <c r="M84" s="176">
        <f>M61+M83</f>
        <v>6050934.47</v>
      </c>
      <c r="N84" s="207"/>
      <c r="O84" s="208">
        <f>O61+O83</f>
        <v>5297040.67</v>
      </c>
      <c r="P84" s="209">
        <f t="shared" si="19"/>
        <v>0.875408698650144</v>
      </c>
      <c r="Q84" s="208">
        <f>Q61+Q83</f>
        <v>4229680.13</v>
      </c>
      <c r="R84" s="234">
        <f t="shared" si="21"/>
        <v>0.699012714642735</v>
      </c>
      <c r="S84" s="23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/>
      <c r="BO84" s="179"/>
    </row>
    <row r="85" s="142" customFormat="1" ht="22.5" spans="1:67">
      <c r="A85" s="184">
        <v>1</v>
      </c>
      <c r="B85" s="173" t="s">
        <v>81</v>
      </c>
      <c r="C85" s="173" t="s">
        <v>526</v>
      </c>
      <c r="D85" s="173" t="s">
        <v>124</v>
      </c>
      <c r="E85" s="165">
        <v>3000</v>
      </c>
      <c r="F85" s="173" t="s">
        <v>527</v>
      </c>
      <c r="G85" s="173" t="s">
        <v>528</v>
      </c>
      <c r="H85" s="173" t="s">
        <v>529</v>
      </c>
      <c r="I85" s="173" t="s">
        <v>128</v>
      </c>
      <c r="J85" s="173" t="s">
        <v>500</v>
      </c>
      <c r="K85" s="164" t="s">
        <v>530</v>
      </c>
      <c r="L85" s="173" t="s">
        <v>252</v>
      </c>
      <c r="M85" s="165">
        <v>19250</v>
      </c>
      <c r="N85" s="213" t="s">
        <v>531</v>
      </c>
      <c r="O85" s="193">
        <f t="shared" ref="O85:O100" si="22">S85+U85+W85+Y85+AA85+AC85+AE85+AG85+AI85+AK85+AM85+AO85+AQ85+AS85+AU85+AW85+AY85+BA85+BC85+BE85+BG85+BI85+BK85+BM85</f>
        <v>19250</v>
      </c>
      <c r="P85" s="194">
        <f t="shared" si="19"/>
        <v>1</v>
      </c>
      <c r="Q85" s="224">
        <f t="shared" ref="Q85:Q100" si="23">T85+V85+X85+Z85+AB85+AD85+AF85+AH85+AJ85+AL85+AN85+AP85+AR85+AT85+AV85+AX85+AZ85+BB85+BD85+BF85+BH85+BJ85+BL85+BN85</f>
        <v>19250</v>
      </c>
      <c r="R85" s="225">
        <f t="shared" si="21"/>
        <v>1</v>
      </c>
      <c r="S85" s="236"/>
      <c r="T85" s="173">
        <v>5775</v>
      </c>
      <c r="U85" s="173"/>
      <c r="V85" s="173"/>
      <c r="W85" s="173"/>
      <c r="X85" s="173"/>
      <c r="Y85" s="173"/>
      <c r="Z85" s="173"/>
      <c r="AA85" s="173"/>
      <c r="AB85" s="173"/>
      <c r="AC85" s="173">
        <v>19250</v>
      </c>
      <c r="AD85" s="173"/>
      <c r="AE85" s="173"/>
      <c r="AF85" s="173"/>
      <c r="AG85" s="173"/>
      <c r="AH85" s="173">
        <v>13475</v>
      </c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173"/>
      <c r="AT85" s="173"/>
      <c r="AU85" s="173"/>
      <c r="AV85" s="173"/>
      <c r="AW85" s="173"/>
      <c r="AX85" s="173"/>
      <c r="AY85" s="173"/>
      <c r="AZ85" s="173"/>
      <c r="BA85" s="173"/>
      <c r="BB85" s="173"/>
      <c r="BC85" s="173"/>
      <c r="BD85" s="173"/>
      <c r="BE85" s="173"/>
      <c r="BF85" s="173"/>
      <c r="BG85" s="173"/>
      <c r="BH85" s="173"/>
      <c r="BI85" s="173"/>
      <c r="BJ85" s="173"/>
      <c r="BK85" s="173"/>
      <c r="BL85" s="173"/>
      <c r="BM85" s="173"/>
      <c r="BN85" s="173"/>
      <c r="BO85" s="173"/>
    </row>
    <row r="86" s="142" customFormat="1" ht="22.5" spans="1:67">
      <c r="A86" s="184">
        <v>2</v>
      </c>
      <c r="B86" s="173" t="s">
        <v>81</v>
      </c>
      <c r="C86" s="173" t="s">
        <v>532</v>
      </c>
      <c r="D86" s="173" t="s">
        <v>115</v>
      </c>
      <c r="E86" s="165">
        <v>2200</v>
      </c>
      <c r="F86" s="173" t="s">
        <v>159</v>
      </c>
      <c r="G86" s="173" t="s">
        <v>160</v>
      </c>
      <c r="H86" s="173" t="s">
        <v>533</v>
      </c>
      <c r="I86" s="173" t="s">
        <v>534</v>
      </c>
      <c r="J86" s="173" t="s">
        <v>453</v>
      </c>
      <c r="K86" s="173" t="s">
        <v>535</v>
      </c>
      <c r="L86" s="173" t="s">
        <v>368</v>
      </c>
      <c r="M86" s="165">
        <v>14000</v>
      </c>
      <c r="N86" s="213" t="s">
        <v>536</v>
      </c>
      <c r="O86" s="193">
        <f t="shared" si="22"/>
        <v>14000</v>
      </c>
      <c r="P86" s="194">
        <f t="shared" si="19"/>
        <v>1</v>
      </c>
      <c r="Q86" s="224">
        <f t="shared" si="23"/>
        <v>14000</v>
      </c>
      <c r="R86" s="225">
        <f t="shared" si="21"/>
        <v>1</v>
      </c>
      <c r="S86" s="236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>
        <v>14000</v>
      </c>
      <c r="AF86" s="173"/>
      <c r="AG86" s="173"/>
      <c r="AH86" s="173">
        <v>7000</v>
      </c>
      <c r="AI86" s="173"/>
      <c r="AJ86" s="173"/>
      <c r="AK86" s="173"/>
      <c r="AL86" s="173"/>
      <c r="AM86" s="173"/>
      <c r="AN86" s="173">
        <v>7000</v>
      </c>
      <c r="AO86" s="173"/>
      <c r="AP86" s="173"/>
      <c r="AQ86" s="173"/>
      <c r="AR86" s="173"/>
      <c r="AS86" s="173"/>
      <c r="AT86" s="173"/>
      <c r="AU86" s="173"/>
      <c r="AV86" s="173"/>
      <c r="AW86" s="173"/>
      <c r="AX86" s="173"/>
      <c r="AY86" s="173"/>
      <c r="AZ86" s="173"/>
      <c r="BA86" s="173"/>
      <c r="BB86" s="173"/>
      <c r="BC86" s="173"/>
      <c r="BD86" s="173"/>
      <c r="BE86" s="173"/>
      <c r="BF86" s="173"/>
      <c r="BG86" s="173"/>
      <c r="BH86" s="173"/>
      <c r="BI86" s="173"/>
      <c r="BJ86" s="173"/>
      <c r="BK86" s="173"/>
      <c r="BL86" s="173"/>
      <c r="BM86" s="173"/>
      <c r="BN86" s="173"/>
      <c r="BO86" s="173"/>
    </row>
    <row r="87" s="142" customFormat="1" ht="15" customHeight="1" spans="1:67">
      <c r="A87" s="184">
        <v>3</v>
      </c>
      <c r="B87" s="173" t="s">
        <v>81</v>
      </c>
      <c r="C87" s="173" t="s">
        <v>394</v>
      </c>
      <c r="D87" s="173" t="s">
        <v>115</v>
      </c>
      <c r="E87" s="165">
        <v>5110</v>
      </c>
      <c r="F87" s="173" t="s">
        <v>537</v>
      </c>
      <c r="G87" s="173" t="s">
        <v>538</v>
      </c>
      <c r="H87" s="173" t="s">
        <v>539</v>
      </c>
      <c r="I87" s="173" t="s">
        <v>540</v>
      </c>
      <c r="J87" s="173" t="s">
        <v>541</v>
      </c>
      <c r="K87" s="173" t="s">
        <v>447</v>
      </c>
      <c r="L87" s="173" t="s">
        <v>368</v>
      </c>
      <c r="M87" s="165">
        <v>41700</v>
      </c>
      <c r="N87" s="205" t="s">
        <v>542</v>
      </c>
      <c r="O87" s="193">
        <f t="shared" si="22"/>
        <v>41700</v>
      </c>
      <c r="P87" s="194">
        <f t="shared" si="19"/>
        <v>1</v>
      </c>
      <c r="Q87" s="224">
        <f t="shared" si="23"/>
        <v>41700</v>
      </c>
      <c r="R87" s="225">
        <f t="shared" si="21"/>
        <v>1</v>
      </c>
      <c r="S87" s="236"/>
      <c r="T87" s="173"/>
      <c r="U87" s="173"/>
      <c r="V87" s="173"/>
      <c r="W87" s="173"/>
      <c r="X87" s="173"/>
      <c r="Y87" s="173"/>
      <c r="Z87" s="173"/>
      <c r="AA87" s="173"/>
      <c r="AB87" s="173"/>
      <c r="AC87" s="173">
        <v>41700</v>
      </c>
      <c r="AD87" s="173"/>
      <c r="AE87" s="173"/>
      <c r="AF87" s="173">
        <v>41700</v>
      </c>
      <c r="AG87" s="173"/>
      <c r="AH87" s="173"/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73"/>
      <c r="BM87" s="173"/>
      <c r="BN87" s="173"/>
      <c r="BO87" s="173"/>
    </row>
    <row r="88" s="142" customFormat="1" ht="33.75" spans="1:67">
      <c r="A88" s="184" t="s">
        <v>419</v>
      </c>
      <c r="B88" s="173" t="s">
        <v>81</v>
      </c>
      <c r="C88" s="173" t="s">
        <v>522</v>
      </c>
      <c r="D88" s="173" t="s">
        <v>115</v>
      </c>
      <c r="E88" s="165">
        <v>3000</v>
      </c>
      <c r="F88" s="173" t="s">
        <v>543</v>
      </c>
      <c r="G88" s="173" t="s">
        <v>544</v>
      </c>
      <c r="H88" s="173" t="s">
        <v>545</v>
      </c>
      <c r="I88" s="173" t="s">
        <v>128</v>
      </c>
      <c r="J88" s="173" t="s">
        <v>546</v>
      </c>
      <c r="K88" s="173" t="s">
        <v>547</v>
      </c>
      <c r="L88" s="173" t="s">
        <v>368</v>
      </c>
      <c r="M88" s="165">
        <v>16000</v>
      </c>
      <c r="N88" s="213" t="s">
        <v>548</v>
      </c>
      <c r="O88" s="193">
        <f t="shared" si="22"/>
        <v>16000</v>
      </c>
      <c r="P88" s="194">
        <f t="shared" si="19"/>
        <v>1</v>
      </c>
      <c r="Q88" s="224">
        <f t="shared" si="23"/>
        <v>16000</v>
      </c>
      <c r="R88" s="225">
        <f t="shared" si="21"/>
        <v>1</v>
      </c>
      <c r="S88" s="236"/>
      <c r="T88" s="173"/>
      <c r="U88" s="173"/>
      <c r="V88" s="173"/>
      <c r="W88" s="173"/>
      <c r="X88" s="173"/>
      <c r="Y88" s="173"/>
      <c r="Z88" s="173"/>
      <c r="AA88" s="173"/>
      <c r="AB88" s="173"/>
      <c r="AC88" s="173">
        <v>6400</v>
      </c>
      <c r="AD88" s="173">
        <v>6400</v>
      </c>
      <c r="AE88" s="173"/>
      <c r="AF88" s="173"/>
      <c r="AG88" s="173"/>
      <c r="AH88" s="173"/>
      <c r="AI88" s="173"/>
      <c r="AJ88" s="173"/>
      <c r="AK88" s="173"/>
      <c r="AL88" s="173"/>
      <c r="AM88" s="173"/>
      <c r="AN88" s="173"/>
      <c r="AO88" s="173">
        <v>6400</v>
      </c>
      <c r="AP88" s="173">
        <v>6400</v>
      </c>
      <c r="AQ88" s="173"/>
      <c r="AR88" s="173"/>
      <c r="AS88" s="173"/>
      <c r="AT88" s="173"/>
      <c r="AU88" s="173"/>
      <c r="AV88" s="173"/>
      <c r="AW88" s="173"/>
      <c r="AX88" s="173"/>
      <c r="AY88" s="173">
        <v>3200</v>
      </c>
      <c r="AZ88" s="173">
        <v>3200</v>
      </c>
      <c r="BA88" s="173"/>
      <c r="BB88" s="173"/>
      <c r="BC88" s="173"/>
      <c r="BD88" s="173"/>
      <c r="BE88" s="173"/>
      <c r="BF88" s="173"/>
      <c r="BG88" s="173"/>
      <c r="BH88" s="173"/>
      <c r="BI88" s="173"/>
      <c r="BJ88" s="173"/>
      <c r="BK88" s="173"/>
      <c r="BL88" s="173"/>
      <c r="BM88" s="173"/>
      <c r="BN88" s="173"/>
      <c r="BO88" s="173"/>
    </row>
    <row r="89" s="142" customFormat="1" ht="33.75" spans="1:67">
      <c r="A89" s="184" t="s">
        <v>549</v>
      </c>
      <c r="B89" s="173" t="s">
        <v>81</v>
      </c>
      <c r="C89" s="173" t="s">
        <v>550</v>
      </c>
      <c r="D89" s="173" t="s">
        <v>124</v>
      </c>
      <c r="E89" s="165">
        <v>7600</v>
      </c>
      <c r="F89" s="173" t="s">
        <v>551</v>
      </c>
      <c r="G89" s="173" t="s">
        <v>552</v>
      </c>
      <c r="H89" s="173" t="s">
        <v>553</v>
      </c>
      <c r="I89" s="173" t="s">
        <v>128</v>
      </c>
      <c r="J89" s="173" t="s">
        <v>554</v>
      </c>
      <c r="K89" s="173" t="s">
        <v>555</v>
      </c>
      <c r="L89" s="173" t="s">
        <v>368</v>
      </c>
      <c r="M89" s="165">
        <v>44000</v>
      </c>
      <c r="N89" s="213" t="s">
        <v>556</v>
      </c>
      <c r="O89" s="193">
        <v>44000</v>
      </c>
      <c r="P89" s="194">
        <f t="shared" si="19"/>
        <v>1</v>
      </c>
      <c r="Q89" s="224">
        <f t="shared" si="23"/>
        <v>44000</v>
      </c>
      <c r="R89" s="225">
        <f t="shared" si="21"/>
        <v>1</v>
      </c>
      <c r="S89" s="236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>
        <v>13200</v>
      </c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>
        <v>13200</v>
      </c>
      <c r="AS89" s="173"/>
      <c r="AT89" s="173"/>
      <c r="AU89" s="173">
        <v>26400</v>
      </c>
      <c r="AV89" s="173"/>
      <c r="AW89" s="173" t="s">
        <v>557</v>
      </c>
      <c r="AX89" s="173"/>
      <c r="AY89" s="173"/>
      <c r="AZ89" s="173"/>
      <c r="BA89" s="173"/>
      <c r="BB89" s="173"/>
      <c r="BC89" s="173"/>
      <c r="BD89" s="173"/>
      <c r="BE89" s="173"/>
      <c r="BF89" s="173"/>
      <c r="BG89" s="173"/>
      <c r="BH89" s="173"/>
      <c r="BI89" s="173"/>
      <c r="BJ89" s="173">
        <v>26400</v>
      </c>
      <c r="BK89" s="173">
        <v>4400</v>
      </c>
      <c r="BL89" s="173"/>
      <c r="BM89" s="173"/>
      <c r="BN89" s="173">
        <v>4400</v>
      </c>
      <c r="BO89" s="173"/>
    </row>
    <row r="90" s="142" customFormat="1" ht="22.5" spans="1:67">
      <c r="A90" s="184" t="s">
        <v>558</v>
      </c>
      <c r="B90" s="173" t="s">
        <v>81</v>
      </c>
      <c r="C90" s="173" t="s">
        <v>550</v>
      </c>
      <c r="D90" s="173" t="s">
        <v>124</v>
      </c>
      <c r="E90" s="165">
        <v>2000</v>
      </c>
      <c r="F90" s="173" t="s">
        <v>377</v>
      </c>
      <c r="G90" s="173" t="s">
        <v>559</v>
      </c>
      <c r="H90" s="173" t="s">
        <v>560</v>
      </c>
      <c r="I90" s="173" t="s">
        <v>561</v>
      </c>
      <c r="J90" s="173" t="s">
        <v>459</v>
      </c>
      <c r="K90" s="173" t="s">
        <v>562</v>
      </c>
      <c r="L90" s="173" t="s">
        <v>368</v>
      </c>
      <c r="M90" s="165">
        <v>12000</v>
      </c>
      <c r="N90" s="213" t="s">
        <v>563</v>
      </c>
      <c r="O90" s="193">
        <f t="shared" si="22"/>
        <v>12000</v>
      </c>
      <c r="P90" s="194">
        <f t="shared" si="19"/>
        <v>1</v>
      </c>
      <c r="Q90" s="224">
        <f t="shared" si="23"/>
        <v>12000</v>
      </c>
      <c r="R90" s="225">
        <f t="shared" si="21"/>
        <v>1</v>
      </c>
      <c r="S90" s="236"/>
      <c r="T90" s="173"/>
      <c r="U90" s="173"/>
      <c r="V90" s="173"/>
      <c r="W90" s="173"/>
      <c r="X90" s="173"/>
      <c r="Y90" s="173"/>
      <c r="Z90" s="173"/>
      <c r="AA90" s="173">
        <v>6000</v>
      </c>
      <c r="AB90" s="173"/>
      <c r="AC90" s="173"/>
      <c r="AD90" s="173">
        <v>6000</v>
      </c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>
        <v>6000</v>
      </c>
      <c r="BB90" s="173">
        <v>6000</v>
      </c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173"/>
      <c r="BN90" s="173"/>
      <c r="BO90" s="173"/>
    </row>
    <row r="91" spans="1:67">
      <c r="A91" s="243">
        <v>7</v>
      </c>
      <c r="B91" s="179" t="s">
        <v>81</v>
      </c>
      <c r="C91" s="179" t="s">
        <v>550</v>
      </c>
      <c r="D91" s="179"/>
      <c r="E91" s="180"/>
      <c r="F91" s="179" t="s">
        <v>564</v>
      </c>
      <c r="G91" s="179" t="s">
        <v>565</v>
      </c>
      <c r="H91" s="179" t="s">
        <v>566</v>
      </c>
      <c r="I91" s="179" t="s">
        <v>483</v>
      </c>
      <c r="J91" s="179" t="s">
        <v>567</v>
      </c>
      <c r="K91" s="179" t="s">
        <v>568</v>
      </c>
      <c r="L91" s="179" t="s">
        <v>368</v>
      </c>
      <c r="M91" s="180">
        <v>7500</v>
      </c>
      <c r="N91" s="210" t="s">
        <v>569</v>
      </c>
      <c r="O91" s="211">
        <f t="shared" si="22"/>
        <v>0</v>
      </c>
      <c r="P91" s="212">
        <f t="shared" si="19"/>
        <v>0</v>
      </c>
      <c r="Q91" s="237">
        <f t="shared" si="23"/>
        <v>6000</v>
      </c>
      <c r="R91" s="238">
        <f t="shared" si="21"/>
        <v>0.8</v>
      </c>
      <c r="S91" s="23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>
        <v>6000</v>
      </c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  <c r="AS91" s="179"/>
      <c r="AT91" s="179"/>
      <c r="AU91" s="179"/>
      <c r="AV91" s="179"/>
      <c r="AW91" s="179"/>
      <c r="AX91" s="179"/>
      <c r="AY91" s="179"/>
      <c r="AZ91" s="179"/>
      <c r="BA91" s="179"/>
      <c r="BB91" s="179"/>
      <c r="BC91" s="179"/>
      <c r="BD91" s="179"/>
      <c r="BE91" s="179"/>
      <c r="BF91" s="179"/>
      <c r="BG91" s="179"/>
      <c r="BH91" s="179"/>
      <c r="BI91" s="179"/>
      <c r="BJ91" s="179"/>
      <c r="BK91" s="179"/>
      <c r="BL91" s="179"/>
      <c r="BM91" s="179"/>
      <c r="BN91" s="179"/>
      <c r="BO91" s="179"/>
    </row>
    <row r="92" s="142" customFormat="1" ht="45" spans="1:67">
      <c r="A92" s="184">
        <v>8</v>
      </c>
      <c r="B92" s="173" t="s">
        <v>81</v>
      </c>
      <c r="C92" s="173" t="s">
        <v>570</v>
      </c>
      <c r="D92" s="173" t="s">
        <v>124</v>
      </c>
      <c r="E92" s="165">
        <v>4000</v>
      </c>
      <c r="F92" s="173" t="s">
        <v>571</v>
      </c>
      <c r="G92" s="173" t="s">
        <v>572</v>
      </c>
      <c r="H92" s="173" t="s">
        <v>573</v>
      </c>
      <c r="I92" s="173" t="s">
        <v>440</v>
      </c>
      <c r="J92" s="173" t="s">
        <v>574</v>
      </c>
      <c r="K92" s="173" t="s">
        <v>425</v>
      </c>
      <c r="L92" s="173" t="s">
        <v>368</v>
      </c>
      <c r="M92" s="165">
        <v>30000</v>
      </c>
      <c r="N92" s="213" t="s">
        <v>575</v>
      </c>
      <c r="O92" s="193">
        <f t="shared" si="22"/>
        <v>30000</v>
      </c>
      <c r="P92" s="194">
        <f t="shared" si="19"/>
        <v>1</v>
      </c>
      <c r="Q92" s="224">
        <f t="shared" si="23"/>
        <v>30000</v>
      </c>
      <c r="R92" s="225">
        <f t="shared" si="21"/>
        <v>1</v>
      </c>
      <c r="S92" s="236"/>
      <c r="T92" s="173"/>
      <c r="U92" s="173"/>
      <c r="V92" s="173"/>
      <c r="W92" s="173"/>
      <c r="X92" s="173"/>
      <c r="Y92" s="173"/>
      <c r="Z92" s="173"/>
      <c r="AA92" s="173"/>
      <c r="AB92" s="173"/>
      <c r="AC92" s="173">
        <v>7500</v>
      </c>
      <c r="AD92" s="173"/>
      <c r="AE92" s="173"/>
      <c r="AF92" s="173">
        <v>7500</v>
      </c>
      <c r="AG92" s="173"/>
      <c r="AH92" s="173"/>
      <c r="AI92" s="173"/>
      <c r="AJ92" s="173"/>
      <c r="AK92" s="173">
        <v>15000</v>
      </c>
      <c r="AL92" s="173">
        <v>15000</v>
      </c>
      <c r="AM92" s="173"/>
      <c r="AN92" s="173"/>
      <c r="AO92" s="173"/>
      <c r="AP92" s="173"/>
      <c r="AQ92" s="173">
        <v>7500</v>
      </c>
      <c r="AR92" s="173"/>
      <c r="AS92" s="173"/>
      <c r="AT92" s="173">
        <v>7500</v>
      </c>
      <c r="AU92" s="173"/>
      <c r="AV92" s="173"/>
      <c r="AW92" s="173"/>
      <c r="AX92" s="173"/>
      <c r="AY92" s="173"/>
      <c r="AZ92" s="173"/>
      <c r="BA92" s="173"/>
      <c r="BB92" s="173"/>
      <c r="BC92" s="173"/>
      <c r="BD92" s="173"/>
      <c r="BE92" s="173"/>
      <c r="BF92" s="173"/>
      <c r="BG92" s="173"/>
      <c r="BH92" s="173"/>
      <c r="BI92" s="173"/>
      <c r="BJ92" s="173"/>
      <c r="BK92" s="173"/>
      <c r="BL92" s="173"/>
      <c r="BM92" s="173"/>
      <c r="BN92" s="173"/>
      <c r="BO92" s="173"/>
    </row>
    <row r="93" s="142" customFormat="1" spans="1:67">
      <c r="A93" s="184">
        <v>12</v>
      </c>
      <c r="B93" s="173" t="s">
        <v>576</v>
      </c>
      <c r="C93" s="173" t="s">
        <v>577</v>
      </c>
      <c r="D93" s="173" t="s">
        <v>124</v>
      </c>
      <c r="E93" s="165"/>
      <c r="F93" s="173" t="s">
        <v>508</v>
      </c>
      <c r="G93" s="173" t="s">
        <v>509</v>
      </c>
      <c r="H93" s="173"/>
      <c r="I93" s="173" t="s">
        <v>578</v>
      </c>
      <c r="J93" s="173" t="s">
        <v>577</v>
      </c>
      <c r="K93" s="173" t="s">
        <v>511</v>
      </c>
      <c r="L93" s="173" t="s">
        <v>368</v>
      </c>
      <c r="M93" s="165">
        <v>6500</v>
      </c>
      <c r="N93" s="205" t="s">
        <v>579</v>
      </c>
      <c r="O93" s="193">
        <f t="shared" si="22"/>
        <v>6500</v>
      </c>
      <c r="P93" s="194">
        <f t="shared" si="19"/>
        <v>1</v>
      </c>
      <c r="Q93" s="224">
        <f t="shared" si="23"/>
        <v>6500</v>
      </c>
      <c r="R93" s="225">
        <f t="shared" si="21"/>
        <v>1</v>
      </c>
      <c r="S93" s="236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3"/>
      <c r="AU93" s="173"/>
      <c r="AV93" s="173"/>
      <c r="AW93" s="173"/>
      <c r="AX93" s="173"/>
      <c r="AY93" s="173">
        <v>6500</v>
      </c>
      <c r="AZ93" s="173"/>
      <c r="BA93" s="173"/>
      <c r="BB93" s="173"/>
      <c r="BC93" s="173"/>
      <c r="BD93" s="173"/>
      <c r="BE93" s="173"/>
      <c r="BF93" s="173"/>
      <c r="BG93" s="173"/>
      <c r="BH93" s="173"/>
      <c r="BI93" s="173"/>
      <c r="BJ93" s="173"/>
      <c r="BK93" s="173"/>
      <c r="BL93" s="173"/>
      <c r="BM93" s="173"/>
      <c r="BN93" s="173">
        <v>6500</v>
      </c>
      <c r="BO93" s="173"/>
    </row>
    <row r="94" s="142" customFormat="1" spans="1:67">
      <c r="A94" s="184">
        <v>9</v>
      </c>
      <c r="B94" s="173" t="s">
        <v>383</v>
      </c>
      <c r="C94" s="173" t="s">
        <v>554</v>
      </c>
      <c r="D94" s="173" t="s">
        <v>124</v>
      </c>
      <c r="E94" s="165"/>
      <c r="F94" s="173" t="s">
        <v>508</v>
      </c>
      <c r="G94" s="173" t="s">
        <v>509</v>
      </c>
      <c r="H94" s="173" t="s">
        <v>580</v>
      </c>
      <c r="I94" s="173" t="s">
        <v>581</v>
      </c>
      <c r="J94" s="173" t="s">
        <v>554</v>
      </c>
      <c r="K94" s="173" t="s">
        <v>582</v>
      </c>
      <c r="L94" s="173" t="s">
        <v>368</v>
      </c>
      <c r="M94" s="165">
        <v>50000</v>
      </c>
      <c r="N94" s="205" t="s">
        <v>579</v>
      </c>
      <c r="O94" s="193">
        <f t="shared" si="22"/>
        <v>50000</v>
      </c>
      <c r="P94" s="194">
        <f t="shared" si="19"/>
        <v>1</v>
      </c>
      <c r="Q94" s="224">
        <f t="shared" si="23"/>
        <v>50000</v>
      </c>
      <c r="R94" s="225">
        <f t="shared" si="21"/>
        <v>1</v>
      </c>
      <c r="S94" s="236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3"/>
      <c r="AN94" s="173"/>
      <c r="AO94" s="173"/>
      <c r="AP94" s="173"/>
      <c r="AQ94" s="173"/>
      <c r="AR94" s="173"/>
      <c r="AS94" s="173"/>
      <c r="AT94" s="173"/>
      <c r="AU94" s="173"/>
      <c r="AV94" s="173"/>
      <c r="AW94" s="173"/>
      <c r="AX94" s="173"/>
      <c r="AY94" s="173">
        <v>50000</v>
      </c>
      <c r="AZ94" s="173"/>
      <c r="BA94" s="173"/>
      <c r="BB94" s="173"/>
      <c r="BC94" s="173"/>
      <c r="BD94" s="173"/>
      <c r="BE94" s="173"/>
      <c r="BF94" s="173"/>
      <c r="BG94" s="173"/>
      <c r="BH94" s="173"/>
      <c r="BI94" s="173"/>
      <c r="BJ94" s="173"/>
      <c r="BK94" s="173"/>
      <c r="BL94" s="173"/>
      <c r="BM94" s="173"/>
      <c r="BN94" s="173">
        <v>50000</v>
      </c>
      <c r="BO94" s="173"/>
    </row>
    <row r="95" s="142" customFormat="1" spans="1:67">
      <c r="A95" s="184" t="s">
        <v>583</v>
      </c>
      <c r="B95" s="173" t="s">
        <v>584</v>
      </c>
      <c r="C95" s="173" t="s">
        <v>97</v>
      </c>
      <c r="D95" s="173" t="s">
        <v>124</v>
      </c>
      <c r="E95" s="165">
        <v>690</v>
      </c>
      <c r="F95" s="173" t="s">
        <v>585</v>
      </c>
      <c r="G95" s="173" t="s">
        <v>586</v>
      </c>
      <c r="H95" s="173" t="s">
        <v>587</v>
      </c>
      <c r="I95" s="173" t="s">
        <v>588</v>
      </c>
      <c r="J95" s="173" t="s">
        <v>97</v>
      </c>
      <c r="K95" s="173" t="s">
        <v>589</v>
      </c>
      <c r="L95" s="173" t="s">
        <v>461</v>
      </c>
      <c r="M95" s="165">
        <v>10380</v>
      </c>
      <c r="N95" s="213" t="s">
        <v>590</v>
      </c>
      <c r="O95" s="193">
        <f t="shared" si="22"/>
        <v>10380</v>
      </c>
      <c r="P95" s="194">
        <f t="shared" si="19"/>
        <v>1</v>
      </c>
      <c r="Q95" s="224">
        <f t="shared" si="23"/>
        <v>10380</v>
      </c>
      <c r="R95" s="225">
        <f t="shared" si="21"/>
        <v>1</v>
      </c>
      <c r="S95" s="236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>
        <v>10380</v>
      </c>
      <c r="AF95" s="173"/>
      <c r="AG95" s="173"/>
      <c r="AH95" s="173"/>
      <c r="AI95" s="173"/>
      <c r="AJ95" s="173"/>
      <c r="AK95" s="173"/>
      <c r="AL95" s="173"/>
      <c r="AM95" s="173"/>
      <c r="AN95" s="173">
        <v>10380</v>
      </c>
      <c r="AO95" s="173"/>
      <c r="AP95" s="173"/>
      <c r="AQ95" s="173"/>
      <c r="AR95" s="173"/>
      <c r="AS95" s="173"/>
      <c r="AT95" s="173"/>
      <c r="AU95" s="173"/>
      <c r="AV95" s="173"/>
      <c r="AW95" s="173"/>
      <c r="AX95" s="173"/>
      <c r="AY95" s="173"/>
      <c r="AZ95" s="173"/>
      <c r="BA95" s="173"/>
      <c r="BB95" s="173"/>
      <c r="BC95" s="173"/>
      <c r="BD95" s="173"/>
      <c r="BE95" s="173"/>
      <c r="BF95" s="173"/>
      <c r="BG95" s="173"/>
      <c r="BH95" s="173"/>
      <c r="BI95" s="173"/>
      <c r="BJ95" s="173"/>
      <c r="BK95" s="173"/>
      <c r="BL95" s="173"/>
      <c r="BM95" s="173"/>
      <c r="BN95" s="173"/>
      <c r="BO95" s="173"/>
    </row>
    <row r="96" s="142" customFormat="1" spans="1:67">
      <c r="A96" s="184" t="s">
        <v>591</v>
      </c>
      <c r="B96" s="173" t="s">
        <v>584</v>
      </c>
      <c r="C96" s="173" t="s">
        <v>97</v>
      </c>
      <c r="D96" s="173"/>
      <c r="E96" s="165"/>
      <c r="F96" s="173" t="s">
        <v>585</v>
      </c>
      <c r="G96" s="173" t="s">
        <v>586</v>
      </c>
      <c r="H96" s="173" t="s">
        <v>592</v>
      </c>
      <c r="I96" s="173" t="s">
        <v>593</v>
      </c>
      <c r="J96" s="173" t="s">
        <v>97</v>
      </c>
      <c r="K96" s="173" t="s">
        <v>589</v>
      </c>
      <c r="L96" s="173" t="s">
        <v>461</v>
      </c>
      <c r="M96" s="165">
        <v>4300</v>
      </c>
      <c r="N96" s="213" t="s">
        <v>590</v>
      </c>
      <c r="O96" s="193">
        <f t="shared" si="22"/>
        <v>4300</v>
      </c>
      <c r="P96" s="194">
        <f t="shared" si="19"/>
        <v>1</v>
      </c>
      <c r="Q96" s="224">
        <f t="shared" si="23"/>
        <v>4300</v>
      </c>
      <c r="R96" s="225">
        <f t="shared" si="21"/>
        <v>1</v>
      </c>
      <c r="S96" s="236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>
        <v>4300</v>
      </c>
      <c r="AF96" s="173"/>
      <c r="AG96" s="173"/>
      <c r="AH96" s="173"/>
      <c r="AI96" s="173"/>
      <c r="AJ96" s="173"/>
      <c r="AK96" s="173"/>
      <c r="AL96" s="173"/>
      <c r="AM96" s="173"/>
      <c r="AN96" s="173">
        <v>4300</v>
      </c>
      <c r="AO96" s="173"/>
      <c r="AP96" s="173"/>
      <c r="AQ96" s="173"/>
      <c r="AR96" s="173"/>
      <c r="AS96" s="173"/>
      <c r="AT96" s="173"/>
      <c r="AU96" s="173"/>
      <c r="AV96" s="173"/>
      <c r="AW96" s="173"/>
      <c r="AX96" s="173"/>
      <c r="AY96" s="173"/>
      <c r="AZ96" s="173"/>
      <c r="BA96" s="173"/>
      <c r="BB96" s="173"/>
      <c r="BC96" s="173"/>
      <c r="BD96" s="173"/>
      <c r="BE96" s="173"/>
      <c r="BF96" s="173"/>
      <c r="BG96" s="173"/>
      <c r="BH96" s="173"/>
      <c r="BI96" s="173"/>
      <c r="BJ96" s="173"/>
      <c r="BK96" s="173"/>
      <c r="BL96" s="173"/>
      <c r="BM96" s="173"/>
      <c r="BN96" s="173"/>
      <c r="BO96" s="173"/>
    </row>
    <row r="97" s="142" customFormat="1" ht="22.5" spans="1:67">
      <c r="A97" s="184">
        <v>12</v>
      </c>
      <c r="B97" s="173" t="s">
        <v>594</v>
      </c>
      <c r="C97" s="173" t="s">
        <v>500</v>
      </c>
      <c r="D97" s="173" t="s">
        <v>124</v>
      </c>
      <c r="E97" s="165">
        <v>9000</v>
      </c>
      <c r="F97" s="173" t="s">
        <v>449</v>
      </c>
      <c r="G97" s="173" t="s">
        <v>450</v>
      </c>
      <c r="H97" s="173" t="s">
        <v>595</v>
      </c>
      <c r="I97" s="173" t="s">
        <v>258</v>
      </c>
      <c r="J97" s="173" t="s">
        <v>500</v>
      </c>
      <c r="K97" s="173" t="s">
        <v>530</v>
      </c>
      <c r="L97" s="173" t="s">
        <v>368</v>
      </c>
      <c r="M97" s="165">
        <v>30000</v>
      </c>
      <c r="N97" s="213" t="s">
        <v>596</v>
      </c>
      <c r="O97" s="193">
        <f t="shared" si="22"/>
        <v>30000</v>
      </c>
      <c r="P97" s="194">
        <f t="shared" si="19"/>
        <v>1</v>
      </c>
      <c r="Q97" s="224">
        <f t="shared" si="23"/>
        <v>30000</v>
      </c>
      <c r="R97" s="225">
        <f t="shared" si="21"/>
        <v>1</v>
      </c>
      <c r="S97" s="236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>
        <v>15000</v>
      </c>
      <c r="AL97" s="173"/>
      <c r="AM97" s="173"/>
      <c r="AN97" s="173">
        <v>15000</v>
      </c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  <c r="AZ97" s="173"/>
      <c r="BA97" s="173"/>
      <c r="BB97" s="173"/>
      <c r="BC97" s="173"/>
      <c r="BD97" s="173"/>
      <c r="BE97" s="173">
        <v>15000</v>
      </c>
      <c r="BF97" s="173"/>
      <c r="BG97" s="173"/>
      <c r="BH97" s="173"/>
      <c r="BI97" s="173"/>
      <c r="BJ97" s="173">
        <v>15000</v>
      </c>
      <c r="BK97" s="173"/>
      <c r="BL97" s="173"/>
      <c r="BM97" s="173"/>
      <c r="BN97" s="173"/>
      <c r="BO97" s="173"/>
    </row>
    <row r="98" s="142" customFormat="1" ht="45" spans="1:67">
      <c r="A98" s="184">
        <v>13</v>
      </c>
      <c r="B98" s="173" t="s">
        <v>90</v>
      </c>
      <c r="C98" s="173"/>
      <c r="D98" s="173"/>
      <c r="E98" s="165"/>
      <c r="F98" s="173" t="s">
        <v>597</v>
      </c>
      <c r="G98" s="173" t="s">
        <v>444</v>
      </c>
      <c r="H98" s="173" t="s">
        <v>598</v>
      </c>
      <c r="I98" s="173" t="s">
        <v>599</v>
      </c>
      <c r="J98" s="173" t="s">
        <v>600</v>
      </c>
      <c r="K98" s="173" t="s">
        <v>601</v>
      </c>
      <c r="L98" s="173" t="s">
        <v>252</v>
      </c>
      <c r="M98" s="165">
        <v>664462.5</v>
      </c>
      <c r="N98" s="213" t="s">
        <v>602</v>
      </c>
      <c r="O98" s="193">
        <f t="shared" si="22"/>
        <v>664462.49</v>
      </c>
      <c r="P98" s="194">
        <f t="shared" si="19"/>
        <v>0.999999984950242</v>
      </c>
      <c r="Q98" s="224">
        <f t="shared" si="23"/>
        <v>664462.49</v>
      </c>
      <c r="R98" s="225">
        <f t="shared" si="21"/>
        <v>0.999999984950242</v>
      </c>
      <c r="S98" s="236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>
        <v>398677.5</v>
      </c>
      <c r="AL98" s="173">
        <v>398677.5</v>
      </c>
      <c r="AM98" s="173">
        <v>232561.87</v>
      </c>
      <c r="AN98" s="173">
        <v>232561.87</v>
      </c>
      <c r="AO98" s="173">
        <v>33223.12</v>
      </c>
      <c r="AP98" s="173">
        <v>33223.12</v>
      </c>
      <c r="AQ98" s="173"/>
      <c r="AR98" s="173"/>
      <c r="AS98" s="173"/>
      <c r="AT98" s="173"/>
      <c r="AU98" s="173"/>
      <c r="AV98" s="173"/>
      <c r="AW98" s="173"/>
      <c r="AX98" s="173"/>
      <c r="AY98" s="173"/>
      <c r="AZ98" s="173"/>
      <c r="BA98" s="173"/>
      <c r="BB98" s="173"/>
      <c r="BC98" s="173"/>
      <c r="BD98" s="173"/>
      <c r="BE98" s="173"/>
      <c r="BF98" s="173"/>
      <c r="BG98" s="173"/>
      <c r="BH98" s="173"/>
      <c r="BI98" s="173"/>
      <c r="BJ98" s="173"/>
      <c r="BK98" s="173"/>
      <c r="BL98" s="173"/>
      <c r="BM98" s="173"/>
      <c r="BN98" s="173"/>
      <c r="BO98" s="173"/>
    </row>
    <row r="99" spans="1:67">
      <c r="A99" s="243">
        <v>14</v>
      </c>
      <c r="B99" s="175" t="s">
        <v>90</v>
      </c>
      <c r="C99" s="179" t="s">
        <v>570</v>
      </c>
      <c r="D99" s="179"/>
      <c r="E99" s="180"/>
      <c r="F99" s="179" t="s">
        <v>603</v>
      </c>
      <c r="G99" s="179"/>
      <c r="H99" s="179"/>
      <c r="I99" s="179"/>
      <c r="J99" s="179"/>
      <c r="K99" s="179"/>
      <c r="L99" s="179"/>
      <c r="M99" s="180">
        <v>8880000</v>
      </c>
      <c r="N99" s="216" t="s">
        <v>604</v>
      </c>
      <c r="O99" s="211">
        <f t="shared" si="22"/>
        <v>0</v>
      </c>
      <c r="P99" s="212">
        <f t="shared" si="19"/>
        <v>0</v>
      </c>
      <c r="Q99" s="237">
        <f t="shared" si="23"/>
        <v>0</v>
      </c>
      <c r="R99" s="238">
        <f t="shared" si="21"/>
        <v>0</v>
      </c>
      <c r="S99" s="23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179"/>
      <c r="AT99" s="179"/>
      <c r="AU99" s="179"/>
      <c r="AV99" s="179"/>
      <c r="AW99" s="179"/>
      <c r="AX99" s="179"/>
      <c r="AY99" s="179"/>
      <c r="AZ99" s="179"/>
      <c r="BA99" s="179"/>
      <c r="BB99" s="179"/>
      <c r="BC99" s="179"/>
      <c r="BD99" s="179"/>
      <c r="BE99" s="179"/>
      <c r="BF99" s="179"/>
      <c r="BG99" s="179"/>
      <c r="BH99" s="179"/>
      <c r="BI99" s="179"/>
      <c r="BJ99" s="179"/>
      <c r="BK99" s="179"/>
      <c r="BL99" s="179"/>
      <c r="BM99" s="179"/>
      <c r="BN99" s="179"/>
      <c r="BO99" s="179"/>
    </row>
    <row r="100" spans="1:67">
      <c r="A100" s="174" t="s">
        <v>43</v>
      </c>
      <c r="B100" s="175"/>
      <c r="C100" s="175"/>
      <c r="D100" s="175"/>
      <c r="E100" s="176"/>
      <c r="F100" s="175"/>
      <c r="G100" s="175"/>
      <c r="H100" s="175"/>
      <c r="I100" s="175"/>
      <c r="J100" s="175"/>
      <c r="K100" s="175"/>
      <c r="L100" s="175"/>
      <c r="M100" s="206">
        <f>SUM(M85:M99)</f>
        <v>9830092.5</v>
      </c>
      <c r="N100" s="207"/>
      <c r="O100" s="208">
        <f>SUM(O85:O99)</f>
        <v>942592.49</v>
      </c>
      <c r="P100" s="209">
        <f t="shared" ref="P100:P118" si="24">O100/M100</f>
        <v>0.0958884659528891</v>
      </c>
      <c r="Q100" s="208">
        <f>SUM(Q85:Q99)</f>
        <v>948592.49</v>
      </c>
      <c r="R100" s="234">
        <f t="shared" ref="R100:R118" si="25">Q100/M100</f>
        <v>0.0964988366080991</v>
      </c>
      <c r="S100" s="23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  <c r="BJ100" s="175"/>
      <c r="BK100" s="175"/>
      <c r="BL100" s="175"/>
      <c r="BM100" s="175"/>
      <c r="BN100" s="175"/>
      <c r="BO100" s="179"/>
    </row>
    <row r="101" spans="1:67">
      <c r="A101" s="174" t="s">
        <v>605</v>
      </c>
      <c r="B101" s="175"/>
      <c r="C101" s="175"/>
      <c r="D101" s="175"/>
      <c r="E101" s="176"/>
      <c r="F101" s="175"/>
      <c r="G101" s="175"/>
      <c r="H101" s="175"/>
      <c r="I101" s="175"/>
      <c r="J101" s="175"/>
      <c r="K101" s="175"/>
      <c r="L101" s="175"/>
      <c r="M101" s="176">
        <f>M84+M100</f>
        <v>15881026.97</v>
      </c>
      <c r="N101" s="207"/>
      <c r="O101" s="208">
        <f>O84+O100</f>
        <v>6239633.16</v>
      </c>
      <c r="P101" s="209">
        <f t="shared" si="24"/>
        <v>0.392898593509536</v>
      </c>
      <c r="Q101" s="208">
        <f>Q84+Q100</f>
        <v>5178272.62</v>
      </c>
      <c r="R101" s="234">
        <f t="shared" si="25"/>
        <v>0.326066609532368</v>
      </c>
      <c r="S101" s="23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75"/>
      <c r="BJ101" s="175"/>
      <c r="BK101" s="175"/>
      <c r="BL101" s="175"/>
      <c r="BM101" s="175"/>
      <c r="BN101" s="175"/>
      <c r="BO101" s="179"/>
    </row>
    <row r="102" s="142" customFormat="1" ht="33.75" spans="1:67">
      <c r="A102" s="184">
        <v>1</v>
      </c>
      <c r="B102" s="173" t="s">
        <v>81</v>
      </c>
      <c r="C102" s="173" t="s">
        <v>606</v>
      </c>
      <c r="D102" s="173" t="s">
        <v>514</v>
      </c>
      <c r="E102" s="165">
        <v>19740</v>
      </c>
      <c r="F102" s="173" t="s">
        <v>607</v>
      </c>
      <c r="G102" s="173" t="s">
        <v>608</v>
      </c>
      <c r="H102" s="173" t="s">
        <v>609</v>
      </c>
      <c r="I102" s="173" t="s">
        <v>610</v>
      </c>
      <c r="J102" s="173" t="s">
        <v>381</v>
      </c>
      <c r="K102" s="173" t="s">
        <v>425</v>
      </c>
      <c r="L102" s="173" t="s">
        <v>461</v>
      </c>
      <c r="M102" s="165">
        <v>87000</v>
      </c>
      <c r="N102" s="213" t="s">
        <v>611</v>
      </c>
      <c r="O102" s="193">
        <f t="shared" ref="O102:O118" si="26">S102+U102+W102+Y102+AA102+AC102+AE102+AG102+AI102+AK102+AM102+AO102+AQ102+AS102+AU102+AW102+AY102+BA102+BC102+BE102+BG102+BI102+BK102+BM102</f>
        <v>87000</v>
      </c>
      <c r="P102" s="194">
        <f t="shared" si="24"/>
        <v>1</v>
      </c>
      <c r="Q102" s="224">
        <f t="shared" ref="Q102:Q118" si="27">T102+V102+X102+Z102+AB102+AD102+AF102+AH102+AJ102+AL102+AN102+AP102+AR102+AT102+AV102+AX102+AZ102+BB102+BD102+BF102+BH102+BJ102+BL102+BN102</f>
        <v>87000</v>
      </c>
      <c r="R102" s="225">
        <f t="shared" si="25"/>
        <v>1</v>
      </c>
      <c r="S102" s="236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>
        <v>87000</v>
      </c>
      <c r="AN102" s="173">
        <v>87000</v>
      </c>
      <c r="AO102" s="173"/>
      <c r="AP102" s="173"/>
      <c r="AQ102" s="173"/>
      <c r="AR102" s="173"/>
      <c r="AS102" s="173"/>
      <c r="AT102" s="173"/>
      <c r="AU102" s="173"/>
      <c r="AV102" s="173"/>
      <c r="AW102" s="173"/>
      <c r="AX102" s="173"/>
      <c r="AY102" s="173"/>
      <c r="AZ102" s="173"/>
      <c r="BA102" s="173"/>
      <c r="BB102" s="173"/>
      <c r="BC102" s="173"/>
      <c r="BD102" s="173"/>
      <c r="BE102" s="173"/>
      <c r="BF102" s="173"/>
      <c r="BG102" s="173"/>
      <c r="BH102" s="173"/>
      <c r="BI102" s="173"/>
      <c r="BJ102" s="173"/>
      <c r="BK102" s="173"/>
      <c r="BL102" s="173"/>
      <c r="BM102" s="173"/>
      <c r="BN102" s="173"/>
      <c r="BO102" s="173"/>
    </row>
    <row r="103" s="142" customFormat="1" spans="1:67">
      <c r="A103" s="184">
        <v>2</v>
      </c>
      <c r="B103" s="173" t="s">
        <v>81</v>
      </c>
      <c r="C103" s="173" t="s">
        <v>612</v>
      </c>
      <c r="D103" s="173" t="s">
        <v>514</v>
      </c>
      <c r="E103" s="165">
        <v>1520</v>
      </c>
      <c r="F103" s="173" t="s">
        <v>613</v>
      </c>
      <c r="G103" s="173" t="s">
        <v>614</v>
      </c>
      <c r="H103" s="173" t="s">
        <v>615</v>
      </c>
      <c r="I103" s="173" t="s">
        <v>616</v>
      </c>
      <c r="J103" s="173" t="s">
        <v>617</v>
      </c>
      <c r="K103" s="173" t="s">
        <v>618</v>
      </c>
      <c r="L103" s="173" t="s">
        <v>461</v>
      </c>
      <c r="M103" s="165">
        <v>8000</v>
      </c>
      <c r="N103" s="205" t="s">
        <v>619</v>
      </c>
      <c r="O103" s="193">
        <f t="shared" si="26"/>
        <v>8000</v>
      </c>
      <c r="P103" s="194">
        <f t="shared" si="24"/>
        <v>1</v>
      </c>
      <c r="Q103" s="224">
        <f t="shared" si="27"/>
        <v>8000</v>
      </c>
      <c r="R103" s="225">
        <f t="shared" si="25"/>
        <v>1</v>
      </c>
      <c r="S103" s="236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>
        <v>8000</v>
      </c>
      <c r="AD103" s="173"/>
      <c r="AE103" s="173"/>
      <c r="AF103" s="173">
        <v>8000</v>
      </c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  <c r="AZ103" s="173"/>
      <c r="BA103" s="173"/>
      <c r="BB103" s="173"/>
      <c r="BC103" s="173"/>
      <c r="BD103" s="173"/>
      <c r="BE103" s="173"/>
      <c r="BF103" s="173"/>
      <c r="BG103" s="173"/>
      <c r="BH103" s="173"/>
      <c r="BI103" s="173"/>
      <c r="BJ103" s="173"/>
      <c r="BK103" s="173"/>
      <c r="BL103" s="173"/>
      <c r="BM103" s="173"/>
      <c r="BN103" s="173"/>
      <c r="BO103" s="173"/>
    </row>
    <row r="104" s="142" customFormat="1" spans="1:67">
      <c r="A104" s="184">
        <v>3</v>
      </c>
      <c r="B104" s="173" t="s">
        <v>81</v>
      </c>
      <c r="C104" s="173" t="s">
        <v>620</v>
      </c>
      <c r="D104" s="173" t="s">
        <v>514</v>
      </c>
      <c r="E104" s="165">
        <v>4000</v>
      </c>
      <c r="F104" s="173" t="s">
        <v>621</v>
      </c>
      <c r="G104" s="173" t="s">
        <v>622</v>
      </c>
      <c r="H104" s="173" t="s">
        <v>623</v>
      </c>
      <c r="I104" s="173" t="s">
        <v>624</v>
      </c>
      <c r="J104" s="173" t="s">
        <v>620</v>
      </c>
      <c r="K104" s="173" t="s">
        <v>625</v>
      </c>
      <c r="L104" s="173" t="s">
        <v>368</v>
      </c>
      <c r="M104" s="165">
        <v>19600</v>
      </c>
      <c r="N104" s="205" t="s">
        <v>382</v>
      </c>
      <c r="O104" s="193">
        <f t="shared" si="26"/>
        <v>19600</v>
      </c>
      <c r="P104" s="194">
        <f t="shared" si="24"/>
        <v>1</v>
      </c>
      <c r="Q104" s="224">
        <f t="shared" si="27"/>
        <v>19600</v>
      </c>
      <c r="R104" s="225">
        <f t="shared" si="25"/>
        <v>1</v>
      </c>
      <c r="S104" s="236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>
        <v>19600</v>
      </c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>
        <v>19600</v>
      </c>
      <c r="AP104" s="173"/>
      <c r="AQ104" s="173"/>
      <c r="AR104" s="173"/>
      <c r="AS104" s="173"/>
      <c r="AT104" s="173"/>
      <c r="AU104" s="173"/>
      <c r="AV104" s="173"/>
      <c r="AW104" s="173"/>
      <c r="AX104" s="173"/>
      <c r="AY104" s="173"/>
      <c r="AZ104" s="173"/>
      <c r="BA104" s="173"/>
      <c r="BB104" s="173"/>
      <c r="BC104" s="173"/>
      <c r="BD104" s="173"/>
      <c r="BE104" s="173"/>
      <c r="BF104" s="173"/>
      <c r="BG104" s="173"/>
      <c r="BH104" s="173"/>
      <c r="BI104" s="173"/>
      <c r="BJ104" s="173"/>
      <c r="BK104" s="173"/>
      <c r="BL104" s="173"/>
      <c r="BM104" s="173"/>
      <c r="BN104" s="173"/>
      <c r="BO104" s="173"/>
    </row>
    <row r="105" s="142" customFormat="1" spans="1:67">
      <c r="A105" s="184">
        <v>4</v>
      </c>
      <c r="B105" s="173" t="s">
        <v>81</v>
      </c>
      <c r="C105" s="173" t="s">
        <v>626</v>
      </c>
      <c r="D105" s="173" t="s">
        <v>514</v>
      </c>
      <c r="E105" s="165">
        <v>1730</v>
      </c>
      <c r="F105" s="173" t="s">
        <v>627</v>
      </c>
      <c r="G105" s="173" t="s">
        <v>628</v>
      </c>
      <c r="H105" s="173" t="s">
        <v>629</v>
      </c>
      <c r="I105" s="173" t="s">
        <v>630</v>
      </c>
      <c r="J105" s="173" t="s">
        <v>631</v>
      </c>
      <c r="K105" s="173" t="s">
        <v>626</v>
      </c>
      <c r="L105" s="173" t="s">
        <v>368</v>
      </c>
      <c r="M105" s="165">
        <v>5000</v>
      </c>
      <c r="N105" s="205" t="s">
        <v>382</v>
      </c>
      <c r="O105" s="193">
        <f t="shared" si="26"/>
        <v>5000</v>
      </c>
      <c r="P105" s="194">
        <f t="shared" si="24"/>
        <v>1</v>
      </c>
      <c r="Q105" s="224">
        <f t="shared" si="27"/>
        <v>5000</v>
      </c>
      <c r="R105" s="225">
        <f t="shared" si="25"/>
        <v>1</v>
      </c>
      <c r="S105" s="236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>
        <v>5000</v>
      </c>
      <c r="AN105" s="173">
        <v>5000</v>
      </c>
      <c r="AO105" s="173"/>
      <c r="AP105" s="173"/>
      <c r="AQ105" s="173"/>
      <c r="AR105" s="173"/>
      <c r="AS105" s="173"/>
      <c r="AT105" s="173"/>
      <c r="AU105" s="173"/>
      <c r="AV105" s="173"/>
      <c r="AW105" s="173"/>
      <c r="AX105" s="173"/>
      <c r="AY105" s="173"/>
      <c r="AZ105" s="173"/>
      <c r="BA105" s="173"/>
      <c r="BB105" s="173"/>
      <c r="BC105" s="173"/>
      <c r="BD105" s="173"/>
      <c r="BE105" s="173"/>
      <c r="BF105" s="173"/>
      <c r="BG105" s="173"/>
      <c r="BH105" s="173"/>
      <c r="BI105" s="173"/>
      <c r="BJ105" s="173"/>
      <c r="BK105" s="173"/>
      <c r="BL105" s="173"/>
      <c r="BM105" s="173"/>
      <c r="BN105" s="173"/>
      <c r="BO105" s="173"/>
    </row>
    <row r="106" s="142" customFormat="1" spans="1:67">
      <c r="A106" s="184">
        <v>5</v>
      </c>
      <c r="B106" s="173" t="s">
        <v>81</v>
      </c>
      <c r="C106" s="173" t="s">
        <v>620</v>
      </c>
      <c r="D106" s="173" t="s">
        <v>514</v>
      </c>
      <c r="E106" s="165">
        <v>2390</v>
      </c>
      <c r="F106" s="173" t="s">
        <v>632</v>
      </c>
      <c r="G106" s="173" t="s">
        <v>175</v>
      </c>
      <c r="H106" s="173" t="s">
        <v>633</v>
      </c>
      <c r="I106" s="173" t="s">
        <v>634</v>
      </c>
      <c r="J106" s="173" t="s">
        <v>626</v>
      </c>
      <c r="K106" s="173" t="s">
        <v>635</v>
      </c>
      <c r="L106" s="173" t="s">
        <v>368</v>
      </c>
      <c r="M106" s="165">
        <v>10500</v>
      </c>
      <c r="N106" s="205" t="s">
        <v>382</v>
      </c>
      <c r="O106" s="193">
        <f t="shared" si="26"/>
        <v>10500</v>
      </c>
      <c r="P106" s="194">
        <f t="shared" si="24"/>
        <v>1</v>
      </c>
      <c r="Q106" s="224">
        <f t="shared" si="27"/>
        <v>10500</v>
      </c>
      <c r="R106" s="225">
        <f t="shared" si="25"/>
        <v>1</v>
      </c>
      <c r="S106" s="236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>
        <v>10500</v>
      </c>
      <c r="AF106" s="173"/>
      <c r="AG106" s="173"/>
      <c r="AH106" s="173">
        <v>10500</v>
      </c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3"/>
      <c r="AT106" s="173"/>
      <c r="AU106" s="173"/>
      <c r="AV106" s="173"/>
      <c r="AW106" s="173"/>
      <c r="AX106" s="173"/>
      <c r="AY106" s="173"/>
      <c r="AZ106" s="173"/>
      <c r="BA106" s="173"/>
      <c r="BB106" s="173"/>
      <c r="BC106" s="173"/>
      <c r="BD106" s="173"/>
      <c r="BE106" s="173"/>
      <c r="BF106" s="173"/>
      <c r="BG106" s="173"/>
      <c r="BH106" s="173"/>
      <c r="BI106" s="173"/>
      <c r="BJ106" s="173"/>
      <c r="BK106" s="173"/>
      <c r="BL106" s="173"/>
      <c r="BM106" s="173"/>
      <c r="BN106" s="173"/>
      <c r="BO106" s="173"/>
    </row>
    <row r="107" s="142" customFormat="1" ht="33.75" spans="1:67">
      <c r="A107" s="184" t="s">
        <v>636</v>
      </c>
      <c r="B107" s="173" t="s">
        <v>81</v>
      </c>
      <c r="C107" s="173" t="s">
        <v>620</v>
      </c>
      <c r="D107" s="173" t="s">
        <v>124</v>
      </c>
      <c r="E107" s="165">
        <v>9500</v>
      </c>
      <c r="F107" s="173" t="s">
        <v>637</v>
      </c>
      <c r="G107" s="173" t="s">
        <v>638</v>
      </c>
      <c r="H107" s="173" t="s">
        <v>639</v>
      </c>
      <c r="I107" s="173" t="s">
        <v>640</v>
      </c>
      <c r="J107" s="173" t="s">
        <v>626</v>
      </c>
      <c r="K107" s="173" t="s">
        <v>641</v>
      </c>
      <c r="L107" s="173" t="s">
        <v>368</v>
      </c>
      <c r="M107" s="165">
        <v>27500</v>
      </c>
      <c r="N107" s="213" t="s">
        <v>642</v>
      </c>
      <c r="O107" s="193">
        <f t="shared" si="26"/>
        <v>27500</v>
      </c>
      <c r="P107" s="194">
        <f t="shared" si="24"/>
        <v>1</v>
      </c>
      <c r="Q107" s="224">
        <f t="shared" si="27"/>
        <v>27500</v>
      </c>
      <c r="R107" s="225">
        <f t="shared" si="25"/>
        <v>1</v>
      </c>
      <c r="S107" s="236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>
        <v>11000</v>
      </c>
      <c r="AF107" s="173">
        <v>11000</v>
      </c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>
        <v>5500</v>
      </c>
      <c r="AR107" s="173"/>
      <c r="AS107" s="173"/>
      <c r="AT107" s="173">
        <v>5500</v>
      </c>
      <c r="AU107" s="173"/>
      <c r="AV107" s="173"/>
      <c r="AW107" s="173"/>
      <c r="AX107" s="173"/>
      <c r="AY107" s="173"/>
      <c r="AZ107" s="173"/>
      <c r="BA107" s="173"/>
      <c r="BB107" s="173"/>
      <c r="BC107" s="173">
        <v>11000</v>
      </c>
      <c r="BD107" s="173"/>
      <c r="BE107" s="173"/>
      <c r="BF107" s="173"/>
      <c r="BG107" s="173"/>
      <c r="BH107" s="173">
        <v>11000</v>
      </c>
      <c r="BI107" s="173"/>
      <c r="BJ107" s="173"/>
      <c r="BK107" s="173"/>
      <c r="BL107" s="173"/>
      <c r="BM107" s="173"/>
      <c r="BN107" s="173"/>
      <c r="BO107" s="173"/>
    </row>
    <row r="108" s="142" customFormat="1" ht="67.5" spans="1:67">
      <c r="A108" s="184">
        <v>7</v>
      </c>
      <c r="B108" s="173" t="s">
        <v>300</v>
      </c>
      <c r="C108" s="173" t="s">
        <v>643</v>
      </c>
      <c r="D108" s="173" t="s">
        <v>115</v>
      </c>
      <c r="E108" s="165">
        <v>32700</v>
      </c>
      <c r="F108" s="173" t="s">
        <v>644</v>
      </c>
      <c r="G108" s="173" t="s">
        <v>645</v>
      </c>
      <c r="H108" s="173" t="s">
        <v>646</v>
      </c>
      <c r="I108" s="173" t="s">
        <v>647</v>
      </c>
      <c r="J108" s="173" t="s">
        <v>648</v>
      </c>
      <c r="K108" s="173" t="s">
        <v>649</v>
      </c>
      <c r="L108" s="173" t="s">
        <v>368</v>
      </c>
      <c r="M108" s="165">
        <v>368000</v>
      </c>
      <c r="N108" s="213" t="s">
        <v>650</v>
      </c>
      <c r="O108" s="193">
        <f t="shared" si="26"/>
        <v>368000</v>
      </c>
      <c r="P108" s="194">
        <f t="shared" si="24"/>
        <v>1</v>
      </c>
      <c r="Q108" s="224">
        <f t="shared" si="27"/>
        <v>368000</v>
      </c>
      <c r="R108" s="225">
        <f t="shared" si="25"/>
        <v>1</v>
      </c>
      <c r="S108" s="236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>
        <v>120000</v>
      </c>
      <c r="AF108" s="173">
        <v>120000</v>
      </c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>
        <v>120000</v>
      </c>
      <c r="AR108" s="173"/>
      <c r="AS108" s="173"/>
      <c r="AT108" s="173">
        <v>120000</v>
      </c>
      <c r="AU108" s="173"/>
      <c r="AV108" s="173"/>
      <c r="AW108" s="173"/>
      <c r="AX108" s="173"/>
      <c r="AY108" s="173"/>
      <c r="AZ108" s="173"/>
      <c r="BA108" s="173"/>
      <c r="BB108" s="173"/>
      <c r="BC108" s="173"/>
      <c r="BD108" s="173"/>
      <c r="BE108" s="173"/>
      <c r="BF108" s="173"/>
      <c r="BG108" s="173"/>
      <c r="BH108" s="173"/>
      <c r="BI108" s="173"/>
      <c r="BJ108" s="173"/>
      <c r="BK108" s="173"/>
      <c r="BL108" s="173"/>
      <c r="BM108" s="173">
        <v>128000</v>
      </c>
      <c r="BN108" s="173">
        <v>128000</v>
      </c>
      <c r="BO108" s="173"/>
    </row>
    <row r="109" s="142" customFormat="1" ht="33.75" spans="1:67">
      <c r="A109" s="184">
        <v>8</v>
      </c>
      <c r="B109" s="173" t="s">
        <v>300</v>
      </c>
      <c r="C109" s="173" t="s">
        <v>651</v>
      </c>
      <c r="D109" s="173" t="s">
        <v>124</v>
      </c>
      <c r="E109" s="165">
        <v>18985</v>
      </c>
      <c r="F109" s="173" t="s">
        <v>652</v>
      </c>
      <c r="G109" s="173" t="s">
        <v>652</v>
      </c>
      <c r="H109" s="173" t="s">
        <v>653</v>
      </c>
      <c r="I109" s="173" t="s">
        <v>654</v>
      </c>
      <c r="J109" s="173" t="s">
        <v>651</v>
      </c>
      <c r="K109" s="173" t="s">
        <v>655</v>
      </c>
      <c r="L109" s="173" t="s">
        <v>368</v>
      </c>
      <c r="M109" s="165">
        <v>85000</v>
      </c>
      <c r="N109" s="213" t="s">
        <v>656</v>
      </c>
      <c r="O109" s="193">
        <f t="shared" si="26"/>
        <v>85000</v>
      </c>
      <c r="P109" s="194">
        <f t="shared" si="24"/>
        <v>1</v>
      </c>
      <c r="Q109" s="224">
        <f t="shared" si="27"/>
        <v>85000</v>
      </c>
      <c r="R109" s="225">
        <f t="shared" si="25"/>
        <v>1</v>
      </c>
      <c r="S109" s="236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>
        <v>25500</v>
      </c>
      <c r="AF109" s="173"/>
      <c r="AG109" s="173"/>
      <c r="AH109" s="173">
        <v>25500</v>
      </c>
      <c r="AI109" s="173"/>
      <c r="AJ109" s="173"/>
      <c r="AK109" s="173"/>
      <c r="AL109" s="173"/>
      <c r="AM109" s="173">
        <v>55250</v>
      </c>
      <c r="AN109" s="173"/>
      <c r="AO109" s="173"/>
      <c r="AP109" s="173">
        <v>55250</v>
      </c>
      <c r="AQ109" s="173"/>
      <c r="AR109" s="173"/>
      <c r="AS109" s="173">
        <v>4250</v>
      </c>
      <c r="AT109" s="173">
        <v>4250</v>
      </c>
      <c r="AU109" s="173"/>
      <c r="AV109" s="173"/>
      <c r="AW109" s="173"/>
      <c r="AX109" s="173"/>
      <c r="AY109" s="173"/>
      <c r="AZ109" s="173"/>
      <c r="BA109" s="173"/>
      <c r="BB109" s="173"/>
      <c r="BC109" s="173"/>
      <c r="BD109" s="173"/>
      <c r="BE109" s="173"/>
      <c r="BF109" s="173"/>
      <c r="BG109" s="173"/>
      <c r="BH109" s="173"/>
      <c r="BI109" s="173"/>
      <c r="BJ109" s="173"/>
      <c r="BK109" s="173"/>
      <c r="BL109" s="173"/>
      <c r="BM109" s="173"/>
      <c r="BN109" s="173"/>
      <c r="BO109" s="173"/>
    </row>
    <row r="110" s="142" customFormat="1" spans="1:67">
      <c r="A110" s="184"/>
      <c r="B110" s="173" t="s">
        <v>230</v>
      </c>
      <c r="C110" s="173" t="s">
        <v>657</v>
      </c>
      <c r="D110" s="173" t="s">
        <v>124</v>
      </c>
      <c r="E110" s="165">
        <v>790</v>
      </c>
      <c r="F110" s="173" t="s">
        <v>652</v>
      </c>
      <c r="G110" s="173" t="s">
        <v>652</v>
      </c>
      <c r="H110" s="173" t="s">
        <v>658</v>
      </c>
      <c r="I110" s="173" t="s">
        <v>659</v>
      </c>
      <c r="J110" s="173" t="s">
        <v>657</v>
      </c>
      <c r="K110" s="173" t="s">
        <v>660</v>
      </c>
      <c r="L110" s="173" t="s">
        <v>368</v>
      </c>
      <c r="M110" s="165">
        <v>4000</v>
      </c>
      <c r="N110" s="213" t="s">
        <v>501</v>
      </c>
      <c r="O110" s="193">
        <f t="shared" si="26"/>
        <v>4000</v>
      </c>
      <c r="P110" s="194">
        <f t="shared" si="24"/>
        <v>1</v>
      </c>
      <c r="Q110" s="224">
        <f t="shared" si="27"/>
        <v>4000</v>
      </c>
      <c r="R110" s="225">
        <f t="shared" si="25"/>
        <v>1</v>
      </c>
      <c r="S110" s="236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3"/>
      <c r="AL110" s="173"/>
      <c r="AM110" s="173">
        <v>4000</v>
      </c>
      <c r="AN110" s="173"/>
      <c r="AO110" s="173"/>
      <c r="AP110" s="173">
        <v>4000</v>
      </c>
      <c r="AQ110" s="173"/>
      <c r="AR110" s="173"/>
      <c r="AS110" s="173"/>
      <c r="AT110" s="173"/>
      <c r="AU110" s="173"/>
      <c r="AV110" s="173"/>
      <c r="AW110" s="173"/>
      <c r="AX110" s="173"/>
      <c r="AY110" s="173"/>
      <c r="AZ110" s="173"/>
      <c r="BA110" s="173"/>
      <c r="BB110" s="173"/>
      <c r="BC110" s="173"/>
      <c r="BD110" s="173"/>
      <c r="BE110" s="173"/>
      <c r="BF110" s="173"/>
      <c r="BG110" s="173"/>
      <c r="BH110" s="173"/>
      <c r="BI110" s="173"/>
      <c r="BJ110" s="173"/>
      <c r="BK110" s="173"/>
      <c r="BL110" s="173"/>
      <c r="BM110" s="173"/>
      <c r="BN110" s="173"/>
      <c r="BO110" s="173"/>
    </row>
    <row r="111" s="142" customFormat="1" spans="1:67">
      <c r="A111" s="184">
        <v>9</v>
      </c>
      <c r="B111" s="173" t="s">
        <v>230</v>
      </c>
      <c r="C111" s="173" t="s">
        <v>631</v>
      </c>
      <c r="D111" s="173"/>
      <c r="E111" s="165"/>
      <c r="F111" s="173" t="s">
        <v>487</v>
      </c>
      <c r="G111" s="173" t="s">
        <v>488</v>
      </c>
      <c r="H111" s="173" t="s">
        <v>629</v>
      </c>
      <c r="I111" s="173" t="s">
        <v>661</v>
      </c>
      <c r="J111" s="173" t="s">
        <v>631</v>
      </c>
      <c r="K111" s="173" t="s">
        <v>626</v>
      </c>
      <c r="L111" s="173" t="s">
        <v>368</v>
      </c>
      <c r="M111" s="165">
        <v>1280</v>
      </c>
      <c r="N111" s="205" t="s">
        <v>486</v>
      </c>
      <c r="O111" s="193">
        <f t="shared" si="26"/>
        <v>1280</v>
      </c>
      <c r="P111" s="194">
        <f t="shared" si="24"/>
        <v>1</v>
      </c>
      <c r="Q111" s="224">
        <f t="shared" si="27"/>
        <v>1280</v>
      </c>
      <c r="R111" s="225">
        <f t="shared" si="25"/>
        <v>1</v>
      </c>
      <c r="S111" s="236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>
        <v>1280</v>
      </c>
      <c r="AF111" s="173"/>
      <c r="AG111" s="173"/>
      <c r="AH111" s="173">
        <v>1280</v>
      </c>
      <c r="AI111" s="173"/>
      <c r="AJ111" s="173"/>
      <c r="AK111" s="173"/>
      <c r="AL111" s="173"/>
      <c r="AM111" s="173"/>
      <c r="AN111" s="173"/>
      <c r="AO111" s="173"/>
      <c r="AP111" s="173"/>
      <c r="AQ111" s="173"/>
      <c r="AR111" s="173"/>
      <c r="AS111" s="173"/>
      <c r="AT111" s="173"/>
      <c r="AU111" s="173"/>
      <c r="AV111" s="173"/>
      <c r="AW111" s="173"/>
      <c r="AX111" s="173"/>
      <c r="AY111" s="173"/>
      <c r="AZ111" s="173"/>
      <c r="BA111" s="173"/>
      <c r="BB111" s="173"/>
      <c r="BC111" s="173"/>
      <c r="BD111" s="173"/>
      <c r="BE111" s="173"/>
      <c r="BF111" s="173"/>
      <c r="BG111" s="173"/>
      <c r="BH111" s="173"/>
      <c r="BI111" s="173"/>
      <c r="BJ111" s="173"/>
      <c r="BK111" s="173"/>
      <c r="BL111" s="173"/>
      <c r="BM111" s="173"/>
      <c r="BN111" s="173"/>
      <c r="BO111" s="173"/>
    </row>
    <row r="112" spans="1:67">
      <c r="A112" s="243">
        <v>10</v>
      </c>
      <c r="B112" s="179" t="s">
        <v>230</v>
      </c>
      <c r="C112" s="179" t="s">
        <v>643</v>
      </c>
      <c r="D112" s="179" t="s">
        <v>124</v>
      </c>
      <c r="E112" s="180">
        <v>245</v>
      </c>
      <c r="F112" s="179" t="s">
        <v>364</v>
      </c>
      <c r="G112" s="179" t="s">
        <v>365</v>
      </c>
      <c r="H112" s="179" t="s">
        <v>662</v>
      </c>
      <c r="I112" s="179" t="s">
        <v>663</v>
      </c>
      <c r="J112" s="179" t="s">
        <v>664</v>
      </c>
      <c r="K112" s="179" t="s">
        <v>665</v>
      </c>
      <c r="L112" s="179" t="s">
        <v>368</v>
      </c>
      <c r="M112" s="180">
        <v>2250</v>
      </c>
      <c r="N112" s="210" t="s">
        <v>666</v>
      </c>
      <c r="O112" s="211">
        <f t="shared" si="26"/>
        <v>0</v>
      </c>
      <c r="P112" s="212">
        <f t="shared" si="24"/>
        <v>0</v>
      </c>
      <c r="Q112" s="237">
        <f t="shared" si="27"/>
        <v>0</v>
      </c>
      <c r="R112" s="238">
        <f t="shared" si="25"/>
        <v>0</v>
      </c>
      <c r="S112" s="239"/>
      <c r="T112" s="179"/>
      <c r="U112" s="179"/>
      <c r="V112" s="179"/>
      <c r="W112" s="179"/>
      <c r="X112" s="179"/>
      <c r="Y112" s="179"/>
      <c r="Z112" s="179"/>
      <c r="AA112" s="179"/>
      <c r="AB112" s="179"/>
      <c r="AC112" s="179"/>
      <c r="AD112" s="179"/>
      <c r="AE112" s="179"/>
      <c r="AF112" s="179"/>
      <c r="AG112" s="179"/>
      <c r="AH112" s="179"/>
      <c r="AI112" s="179"/>
      <c r="AJ112" s="179"/>
      <c r="AK112" s="179"/>
      <c r="AL112" s="179"/>
      <c r="AM112" s="179"/>
      <c r="AN112" s="179"/>
      <c r="AO112" s="179"/>
      <c r="AP112" s="179"/>
      <c r="AQ112" s="179"/>
      <c r="AR112" s="179"/>
      <c r="AS112" s="179"/>
      <c r="AT112" s="179"/>
      <c r="AU112" s="179"/>
      <c r="AV112" s="179"/>
      <c r="AW112" s="179"/>
      <c r="AX112" s="179"/>
      <c r="AY112" s="179"/>
      <c r="AZ112" s="179"/>
      <c r="BA112" s="179"/>
      <c r="BB112" s="179"/>
      <c r="BC112" s="179"/>
      <c r="BD112" s="179"/>
      <c r="BE112" s="179"/>
      <c r="BF112" s="179"/>
      <c r="BG112" s="179"/>
      <c r="BH112" s="179"/>
      <c r="BI112" s="179"/>
      <c r="BJ112" s="179"/>
      <c r="BK112" s="179"/>
      <c r="BL112" s="179"/>
      <c r="BM112" s="179"/>
      <c r="BN112" s="179"/>
      <c r="BO112" s="179"/>
    </row>
    <row r="113" spans="1:67">
      <c r="A113" s="243">
        <v>11</v>
      </c>
      <c r="B113" s="179" t="s">
        <v>383</v>
      </c>
      <c r="C113" s="179" t="s">
        <v>643</v>
      </c>
      <c r="D113" s="179"/>
      <c r="E113" s="180"/>
      <c r="F113" s="179" t="s">
        <v>667</v>
      </c>
      <c r="G113" s="179" t="s">
        <v>668</v>
      </c>
      <c r="H113" s="179" t="s">
        <v>669</v>
      </c>
      <c r="I113" s="179" t="s">
        <v>670</v>
      </c>
      <c r="J113" s="179" t="s">
        <v>671</v>
      </c>
      <c r="K113" s="179" t="s">
        <v>582</v>
      </c>
      <c r="L113" s="179" t="s">
        <v>368</v>
      </c>
      <c r="M113" s="180">
        <v>9950</v>
      </c>
      <c r="N113" s="210" t="s">
        <v>672</v>
      </c>
      <c r="O113" s="211">
        <f t="shared" si="26"/>
        <v>0</v>
      </c>
      <c r="P113" s="212">
        <f t="shared" si="24"/>
        <v>0</v>
      </c>
      <c r="Q113" s="237">
        <f t="shared" si="27"/>
        <v>0</v>
      </c>
      <c r="R113" s="238">
        <f t="shared" si="25"/>
        <v>0</v>
      </c>
      <c r="S113" s="239"/>
      <c r="T113" s="179"/>
      <c r="U113" s="179"/>
      <c r="V113" s="179"/>
      <c r="W113" s="179"/>
      <c r="X113" s="179"/>
      <c r="Y113" s="179"/>
      <c r="Z113" s="179"/>
      <c r="AA113" s="179"/>
      <c r="AB113" s="179"/>
      <c r="AC113" s="179"/>
      <c r="AD113" s="179"/>
      <c r="AE113" s="179"/>
      <c r="AF113" s="179"/>
      <c r="AG113" s="179"/>
      <c r="AH113" s="179"/>
      <c r="AI113" s="179"/>
      <c r="AJ113" s="179"/>
      <c r="AK113" s="179"/>
      <c r="AL113" s="179"/>
      <c r="AM113" s="179"/>
      <c r="AN113" s="179"/>
      <c r="AO113" s="179"/>
      <c r="AP113" s="179"/>
      <c r="AQ113" s="179"/>
      <c r="AR113" s="179"/>
      <c r="AS113" s="179"/>
      <c r="AT113" s="179"/>
      <c r="AU113" s="179"/>
      <c r="AV113" s="179"/>
      <c r="AW113" s="179"/>
      <c r="AX113" s="179"/>
      <c r="AY113" s="179"/>
      <c r="AZ113" s="179"/>
      <c r="BA113" s="179"/>
      <c r="BB113" s="179"/>
      <c r="BC113" s="179"/>
      <c r="BD113" s="179"/>
      <c r="BE113" s="179"/>
      <c r="BF113" s="179"/>
      <c r="BG113" s="179"/>
      <c r="BH113" s="179"/>
      <c r="BI113" s="179"/>
      <c r="BJ113" s="179"/>
      <c r="BK113" s="179"/>
      <c r="BL113" s="179"/>
      <c r="BM113" s="179"/>
      <c r="BN113" s="179"/>
      <c r="BO113" s="179"/>
    </row>
    <row r="114" s="142" customFormat="1" spans="1:67">
      <c r="A114" s="184">
        <v>13</v>
      </c>
      <c r="B114" s="173" t="s">
        <v>673</v>
      </c>
      <c r="C114" s="173" t="s">
        <v>665</v>
      </c>
      <c r="D114" s="173" t="s">
        <v>115</v>
      </c>
      <c r="E114" s="165">
        <v>2760</v>
      </c>
      <c r="F114" s="173" t="s">
        <v>674</v>
      </c>
      <c r="G114" s="173" t="s">
        <v>450</v>
      </c>
      <c r="H114" s="173" t="s">
        <v>675</v>
      </c>
      <c r="I114" s="173" t="s">
        <v>676</v>
      </c>
      <c r="J114" s="173" t="s">
        <v>677</v>
      </c>
      <c r="K114" s="173" t="s">
        <v>660</v>
      </c>
      <c r="L114" s="173" t="s">
        <v>368</v>
      </c>
      <c r="M114" s="165">
        <v>10000</v>
      </c>
      <c r="N114" s="205" t="s">
        <v>388</v>
      </c>
      <c r="O114" s="193">
        <f t="shared" si="26"/>
        <v>10000</v>
      </c>
      <c r="P114" s="194">
        <f t="shared" si="24"/>
        <v>1</v>
      </c>
      <c r="Q114" s="224">
        <f t="shared" si="27"/>
        <v>10000</v>
      </c>
      <c r="R114" s="225">
        <f t="shared" si="25"/>
        <v>1</v>
      </c>
      <c r="S114" s="236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173"/>
      <c r="AD114" s="173"/>
      <c r="AE114" s="173"/>
      <c r="AF114" s="173"/>
      <c r="AG114" s="173"/>
      <c r="AH114" s="173"/>
      <c r="AI114" s="173"/>
      <c r="AJ114" s="173"/>
      <c r="AK114" s="173"/>
      <c r="AL114" s="173"/>
      <c r="AM114" s="173">
        <v>10000</v>
      </c>
      <c r="AN114" s="173">
        <v>10000</v>
      </c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</row>
    <row r="115" s="142" customFormat="1" spans="1:67">
      <c r="A115" s="184" t="s">
        <v>678</v>
      </c>
      <c r="B115" s="173" t="s">
        <v>230</v>
      </c>
      <c r="C115" s="173" t="s">
        <v>679</v>
      </c>
      <c r="D115" s="173" t="s">
        <v>124</v>
      </c>
      <c r="E115" s="165" t="s">
        <v>136</v>
      </c>
      <c r="F115" s="173" t="s">
        <v>680</v>
      </c>
      <c r="G115" s="173" t="s">
        <v>681</v>
      </c>
      <c r="H115" s="173" t="s">
        <v>682</v>
      </c>
      <c r="I115" s="173" t="s">
        <v>683</v>
      </c>
      <c r="J115" s="173" t="s">
        <v>684</v>
      </c>
      <c r="K115" s="173" t="s">
        <v>664</v>
      </c>
      <c r="L115" s="173" t="s">
        <v>368</v>
      </c>
      <c r="M115" s="165">
        <v>3700</v>
      </c>
      <c r="N115" s="205" t="s">
        <v>396</v>
      </c>
      <c r="O115" s="193">
        <f t="shared" si="26"/>
        <v>3700</v>
      </c>
      <c r="P115" s="194">
        <f t="shared" si="24"/>
        <v>1</v>
      </c>
      <c r="Q115" s="224">
        <f t="shared" si="27"/>
        <v>3700</v>
      </c>
      <c r="R115" s="225">
        <f t="shared" si="25"/>
        <v>1</v>
      </c>
      <c r="S115" s="236"/>
      <c r="T115" s="173"/>
      <c r="U115" s="173"/>
      <c r="V115" s="173"/>
      <c r="W115" s="173"/>
      <c r="X115" s="173"/>
      <c r="Y115" s="173"/>
      <c r="Z115" s="173"/>
      <c r="AA115" s="173"/>
      <c r="AB115" s="173"/>
      <c r="AC115" s="173"/>
      <c r="AD115" s="173"/>
      <c r="AE115" s="173"/>
      <c r="AF115" s="173"/>
      <c r="AG115" s="173">
        <v>3700</v>
      </c>
      <c r="AH115" s="173">
        <v>3700</v>
      </c>
      <c r="AI115" s="173"/>
      <c r="AJ115" s="173"/>
      <c r="AK115" s="173"/>
      <c r="AL115" s="173"/>
      <c r="AM115" s="173"/>
      <c r="AN115" s="173"/>
      <c r="AO115" s="173"/>
      <c r="AP115" s="173"/>
      <c r="AQ115" s="173"/>
      <c r="AR115" s="173"/>
      <c r="AS115" s="173"/>
      <c r="AT115" s="173"/>
      <c r="AU115" s="173"/>
      <c r="AV115" s="173"/>
      <c r="AW115" s="173"/>
      <c r="AX115" s="173"/>
      <c r="AY115" s="173"/>
      <c r="AZ115" s="173"/>
      <c r="BA115" s="173"/>
      <c r="BB115" s="173"/>
      <c r="BC115" s="173"/>
      <c r="BD115" s="173"/>
      <c r="BE115" s="173"/>
      <c r="BF115" s="173"/>
      <c r="BG115" s="173"/>
      <c r="BH115" s="173"/>
      <c r="BI115" s="173"/>
      <c r="BJ115" s="173"/>
      <c r="BK115" s="173"/>
      <c r="BL115" s="173"/>
      <c r="BM115" s="173"/>
      <c r="BN115" s="173"/>
      <c r="BO115" s="173"/>
    </row>
    <row r="116" s="142" customFormat="1" spans="1:67">
      <c r="A116" s="184">
        <v>15</v>
      </c>
      <c r="B116" s="173" t="s">
        <v>685</v>
      </c>
      <c r="C116" s="173" t="s">
        <v>625</v>
      </c>
      <c r="D116" s="173"/>
      <c r="E116" s="165"/>
      <c r="F116" s="173" t="s">
        <v>276</v>
      </c>
      <c r="G116" s="173" t="s">
        <v>277</v>
      </c>
      <c r="H116" s="173" t="s">
        <v>686</v>
      </c>
      <c r="I116" s="173" t="s">
        <v>687</v>
      </c>
      <c r="J116" s="173" t="s">
        <v>625</v>
      </c>
      <c r="K116" s="173" t="s">
        <v>677</v>
      </c>
      <c r="L116" s="173" t="s">
        <v>343</v>
      </c>
      <c r="M116" s="165">
        <v>9880</v>
      </c>
      <c r="N116" s="205" t="s">
        <v>688</v>
      </c>
      <c r="O116" s="193">
        <f t="shared" si="26"/>
        <v>9880</v>
      </c>
      <c r="P116" s="194">
        <f t="shared" si="24"/>
        <v>1</v>
      </c>
      <c r="Q116" s="224">
        <f t="shared" si="27"/>
        <v>9880</v>
      </c>
      <c r="R116" s="225">
        <f t="shared" si="25"/>
        <v>1</v>
      </c>
      <c r="S116" s="236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>
        <v>9880</v>
      </c>
      <c r="AH116" s="173"/>
      <c r="AI116" s="173"/>
      <c r="AJ116" s="173">
        <v>9880</v>
      </c>
      <c r="AK116" s="173"/>
      <c r="AL116" s="173"/>
      <c r="AM116" s="173"/>
      <c r="AN116" s="173"/>
      <c r="AO116" s="173"/>
      <c r="AP116" s="173"/>
      <c r="AQ116" s="173"/>
      <c r="AR116" s="173"/>
      <c r="AS116" s="173"/>
      <c r="AT116" s="173"/>
      <c r="AU116" s="173"/>
      <c r="AV116" s="173"/>
      <c r="AW116" s="173"/>
      <c r="AX116" s="173"/>
      <c r="AY116" s="173"/>
      <c r="AZ116" s="173"/>
      <c r="BA116" s="173"/>
      <c r="BB116" s="173"/>
      <c r="BC116" s="173"/>
      <c r="BD116" s="173"/>
      <c r="BE116" s="173"/>
      <c r="BF116" s="173"/>
      <c r="BG116" s="173"/>
      <c r="BH116" s="173"/>
      <c r="BI116" s="173"/>
      <c r="BJ116" s="173"/>
      <c r="BK116" s="173"/>
      <c r="BL116" s="173"/>
      <c r="BM116" s="173"/>
      <c r="BN116" s="173"/>
      <c r="BO116" s="173"/>
    </row>
    <row r="117" s="142" customFormat="1" ht="22.5" spans="1:67">
      <c r="A117" s="184">
        <v>16</v>
      </c>
      <c r="B117" s="173" t="s">
        <v>689</v>
      </c>
      <c r="C117" s="173" t="s">
        <v>648</v>
      </c>
      <c r="D117" s="173" t="s">
        <v>115</v>
      </c>
      <c r="E117" s="165">
        <v>11400</v>
      </c>
      <c r="F117" s="173" t="s">
        <v>537</v>
      </c>
      <c r="G117" s="173" t="s">
        <v>538</v>
      </c>
      <c r="H117" s="173" t="s">
        <v>690</v>
      </c>
      <c r="I117" s="173" t="s">
        <v>691</v>
      </c>
      <c r="J117" s="173" t="s">
        <v>620</v>
      </c>
      <c r="K117" s="173" t="s">
        <v>692</v>
      </c>
      <c r="L117" s="173" t="s">
        <v>368</v>
      </c>
      <c r="M117" s="165">
        <v>49200</v>
      </c>
      <c r="N117" s="213" t="s">
        <v>693</v>
      </c>
      <c r="O117" s="193">
        <f t="shared" si="26"/>
        <v>49200</v>
      </c>
      <c r="P117" s="194">
        <f t="shared" si="24"/>
        <v>1</v>
      </c>
      <c r="Q117" s="224">
        <f t="shared" si="27"/>
        <v>49200</v>
      </c>
      <c r="R117" s="225">
        <f t="shared" si="25"/>
        <v>1</v>
      </c>
      <c r="S117" s="236"/>
      <c r="T117" s="173"/>
      <c r="U117" s="173"/>
      <c r="V117" s="173"/>
      <c r="W117" s="173"/>
      <c r="X117" s="173"/>
      <c r="Y117" s="173"/>
      <c r="Z117" s="173"/>
      <c r="AA117" s="173"/>
      <c r="AB117" s="173"/>
      <c r="AC117" s="173"/>
      <c r="AD117" s="173"/>
      <c r="AE117" s="173"/>
      <c r="AF117" s="173"/>
      <c r="AG117" s="173"/>
      <c r="AH117" s="173"/>
      <c r="AI117" s="173"/>
      <c r="AJ117" s="173"/>
      <c r="AK117" s="173">
        <v>24600</v>
      </c>
      <c r="AL117" s="173">
        <v>24600</v>
      </c>
      <c r="AM117" s="173"/>
      <c r="AN117" s="173"/>
      <c r="AO117" s="173"/>
      <c r="AP117" s="173"/>
      <c r="AQ117" s="173"/>
      <c r="AR117" s="173"/>
      <c r="AS117" s="173"/>
      <c r="AT117" s="173"/>
      <c r="AU117" s="173"/>
      <c r="AV117" s="173"/>
      <c r="AW117" s="173"/>
      <c r="AX117" s="173"/>
      <c r="AY117" s="173"/>
      <c r="AZ117" s="173"/>
      <c r="BA117" s="173"/>
      <c r="BB117" s="173"/>
      <c r="BC117" s="173">
        <v>24600</v>
      </c>
      <c r="BD117" s="173"/>
      <c r="BE117" s="173"/>
      <c r="BF117" s="173"/>
      <c r="BG117" s="173"/>
      <c r="BH117" s="173"/>
      <c r="BI117" s="173"/>
      <c r="BJ117" s="173">
        <v>24600</v>
      </c>
      <c r="BK117" s="173"/>
      <c r="BL117" s="173"/>
      <c r="BM117" s="173"/>
      <c r="BN117" s="173"/>
      <c r="BO117" s="173"/>
    </row>
    <row r="118" s="142" customFormat="1" spans="1:67">
      <c r="A118" s="184">
        <v>17</v>
      </c>
      <c r="B118" s="173" t="s">
        <v>230</v>
      </c>
      <c r="C118" s="173" t="s">
        <v>577</v>
      </c>
      <c r="D118" s="173"/>
      <c r="E118" s="165"/>
      <c r="F118" s="173" t="s">
        <v>232</v>
      </c>
      <c r="G118" s="173" t="s">
        <v>233</v>
      </c>
      <c r="H118" s="173"/>
      <c r="I118" s="173" t="s">
        <v>694</v>
      </c>
      <c r="J118" s="173" t="s">
        <v>577</v>
      </c>
      <c r="K118" s="173" t="s">
        <v>695</v>
      </c>
      <c r="L118" s="173" t="s">
        <v>368</v>
      </c>
      <c r="M118" s="165">
        <v>8690</v>
      </c>
      <c r="N118" s="205" t="s">
        <v>486</v>
      </c>
      <c r="O118" s="193">
        <f t="shared" si="26"/>
        <v>8690</v>
      </c>
      <c r="P118" s="194">
        <f t="shared" si="24"/>
        <v>1</v>
      </c>
      <c r="Q118" s="224">
        <f t="shared" si="27"/>
        <v>8690</v>
      </c>
      <c r="R118" s="225">
        <f t="shared" si="25"/>
        <v>1</v>
      </c>
      <c r="S118" s="236"/>
      <c r="T118" s="173"/>
      <c r="U118" s="173"/>
      <c r="V118" s="173"/>
      <c r="W118" s="173"/>
      <c r="X118" s="173"/>
      <c r="Y118" s="173"/>
      <c r="Z118" s="173"/>
      <c r="AA118" s="173"/>
      <c r="AB118" s="173"/>
      <c r="AC118" s="173"/>
      <c r="AD118" s="173"/>
      <c r="AE118" s="173"/>
      <c r="AF118" s="173"/>
      <c r="AG118" s="173"/>
      <c r="AH118" s="173"/>
      <c r="AI118" s="173"/>
      <c r="AJ118" s="173"/>
      <c r="AK118" s="173"/>
      <c r="AL118" s="173"/>
      <c r="AM118" s="173">
        <v>8690</v>
      </c>
      <c r="AN118" s="173"/>
      <c r="AO118" s="173"/>
      <c r="AP118" s="173"/>
      <c r="AQ118" s="173"/>
      <c r="AR118" s="173">
        <v>8690</v>
      </c>
      <c r="AS118" s="173"/>
      <c r="AT118" s="173"/>
      <c r="AU118" s="173"/>
      <c r="AV118" s="173"/>
      <c r="AW118" s="173"/>
      <c r="AX118" s="173"/>
      <c r="AY118" s="173"/>
      <c r="AZ118" s="173"/>
      <c r="BA118" s="173"/>
      <c r="BB118" s="173"/>
      <c r="BC118" s="173"/>
      <c r="BD118" s="173"/>
      <c r="BE118" s="173"/>
      <c r="BF118" s="173"/>
      <c r="BG118" s="173"/>
      <c r="BH118" s="173"/>
      <c r="BI118" s="173"/>
      <c r="BJ118" s="173"/>
      <c r="BK118" s="173"/>
      <c r="BL118" s="173"/>
      <c r="BM118" s="173"/>
      <c r="BN118" s="173"/>
      <c r="BO118" s="173"/>
    </row>
    <row r="119" spans="1:67">
      <c r="A119" s="174" t="s">
        <v>45</v>
      </c>
      <c r="B119" s="175"/>
      <c r="C119" s="175"/>
      <c r="D119" s="175"/>
      <c r="E119" s="176"/>
      <c r="F119" s="175"/>
      <c r="G119" s="175"/>
      <c r="H119" s="175"/>
      <c r="I119" s="175"/>
      <c r="J119" s="175"/>
      <c r="K119" s="175"/>
      <c r="L119" s="175"/>
      <c r="M119" s="206">
        <f>SUM(M102:M118)</f>
        <v>709550</v>
      </c>
      <c r="N119" s="207"/>
      <c r="O119" s="208">
        <f>SUM(O102:O118)</f>
        <v>697350</v>
      </c>
      <c r="P119" s="209">
        <f t="shared" ref="P119:P138" si="28">O119/M119</f>
        <v>0.982806003805229</v>
      </c>
      <c r="Q119" s="208">
        <f>SUM(Q102:Q118)</f>
        <v>697350</v>
      </c>
      <c r="R119" s="234">
        <f t="shared" ref="R119:R138" si="29">Q119/M119</f>
        <v>0.982806003805229</v>
      </c>
      <c r="S119" s="23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  <c r="BJ119" s="175"/>
      <c r="BK119" s="175"/>
      <c r="BL119" s="175"/>
      <c r="BM119" s="175"/>
      <c r="BN119" s="175"/>
      <c r="BO119" s="179"/>
    </row>
    <row r="120" spans="1:67">
      <c r="A120" s="174" t="s">
        <v>696</v>
      </c>
      <c r="B120" s="175"/>
      <c r="C120" s="175"/>
      <c r="D120" s="175"/>
      <c r="E120" s="176"/>
      <c r="F120" s="175"/>
      <c r="G120" s="175"/>
      <c r="H120" s="175"/>
      <c r="I120" s="175"/>
      <c r="J120" s="175"/>
      <c r="K120" s="175"/>
      <c r="L120" s="175"/>
      <c r="M120" s="176">
        <f>M101+M119</f>
        <v>16590576.97</v>
      </c>
      <c r="N120" s="207"/>
      <c r="O120" s="208">
        <f>O101+O119</f>
        <v>6936983.16</v>
      </c>
      <c r="P120" s="209">
        <f t="shared" si="28"/>
        <v>0.418127903118972</v>
      </c>
      <c r="Q120" s="208">
        <f>Q101+Q119</f>
        <v>5875622.62</v>
      </c>
      <c r="R120" s="234">
        <f t="shared" si="29"/>
        <v>0.354154206368147</v>
      </c>
      <c r="S120" s="23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  <c r="BJ120" s="175"/>
      <c r="BK120" s="175"/>
      <c r="BL120" s="175"/>
      <c r="BM120" s="175"/>
      <c r="BN120" s="175"/>
      <c r="BO120" s="179"/>
    </row>
    <row r="121" s="142" customFormat="1" ht="22.5" spans="1:67">
      <c r="A121" s="184">
        <v>1</v>
      </c>
      <c r="B121" s="173" t="s">
        <v>594</v>
      </c>
      <c r="C121" s="173" t="s">
        <v>697</v>
      </c>
      <c r="D121" s="173" t="s">
        <v>124</v>
      </c>
      <c r="E121" s="165">
        <v>3000</v>
      </c>
      <c r="F121" s="173" t="s">
        <v>236</v>
      </c>
      <c r="G121" s="173" t="s">
        <v>237</v>
      </c>
      <c r="H121" s="173" t="s">
        <v>698</v>
      </c>
      <c r="I121" s="173" t="s">
        <v>128</v>
      </c>
      <c r="J121" s="173" t="s">
        <v>620</v>
      </c>
      <c r="K121" s="173" t="s">
        <v>692</v>
      </c>
      <c r="L121" s="173" t="s">
        <v>368</v>
      </c>
      <c r="M121" s="165">
        <v>15000</v>
      </c>
      <c r="N121" s="213" t="s">
        <v>699</v>
      </c>
      <c r="O121" s="193">
        <f t="shared" ref="O121:O133" si="30">S121+U121+W121+Y121+AA121+AC121+AE121+AG121+AI121+AK121+AM121+AO121+AQ121+AS121+AU121+AW121+AY121+BA121+BC121+BE121+BG121+BI121+BK121+BM121</f>
        <v>15000</v>
      </c>
      <c r="P121" s="194">
        <f t="shared" si="28"/>
        <v>1</v>
      </c>
      <c r="Q121" s="224">
        <f t="shared" ref="Q121:Q133" si="31">T121+V121+X121+Z121+AB121+AD121+AF121+AH121+AJ121+AL121+AN121+AP121+AR121+AT121+AV121+AX121+AZ121+BB121+BD121+BF121+BH121+BJ121+BL121+BN121</f>
        <v>15000</v>
      </c>
      <c r="R121" s="225">
        <f t="shared" si="29"/>
        <v>1</v>
      </c>
      <c r="S121" s="236"/>
      <c r="T121" s="173"/>
      <c r="U121" s="173"/>
      <c r="V121" s="173"/>
      <c r="W121" s="173"/>
      <c r="X121" s="173"/>
      <c r="Y121" s="173"/>
      <c r="Z121" s="173"/>
      <c r="AA121" s="173"/>
      <c r="AB121" s="173"/>
      <c r="AC121" s="173"/>
      <c r="AD121" s="173"/>
      <c r="AE121" s="173"/>
      <c r="AF121" s="173"/>
      <c r="AG121" s="173"/>
      <c r="AH121" s="173"/>
      <c r="AI121" s="173"/>
      <c r="AJ121" s="173"/>
      <c r="AK121" s="173"/>
      <c r="AL121" s="173"/>
      <c r="AM121" s="173">
        <v>7500</v>
      </c>
      <c r="AN121" s="173">
        <v>7500</v>
      </c>
      <c r="AO121" s="173"/>
      <c r="AP121" s="173"/>
      <c r="AQ121" s="173"/>
      <c r="AR121" s="173"/>
      <c r="AS121" s="173"/>
      <c r="AT121" s="173"/>
      <c r="AU121" s="173"/>
      <c r="AV121" s="173"/>
      <c r="AW121" s="173"/>
      <c r="AX121" s="173"/>
      <c r="AY121" s="173"/>
      <c r="AZ121" s="173"/>
      <c r="BA121" s="173"/>
      <c r="BB121" s="173"/>
      <c r="BC121" s="173">
        <v>7500</v>
      </c>
      <c r="BD121" s="173">
        <v>7500</v>
      </c>
      <c r="BE121" s="173"/>
      <c r="BF121" s="173"/>
      <c r="BG121" s="173"/>
      <c r="BH121" s="173"/>
      <c r="BI121" s="173"/>
      <c r="BJ121" s="173"/>
      <c r="BK121" s="173"/>
      <c r="BL121" s="173"/>
      <c r="BM121" s="173"/>
      <c r="BN121" s="173"/>
      <c r="BO121" s="173"/>
    </row>
    <row r="122" s="142" customFormat="1" ht="22.5" spans="1:67">
      <c r="A122" s="184">
        <v>2</v>
      </c>
      <c r="B122" s="173" t="s">
        <v>594</v>
      </c>
      <c r="C122" s="173" t="s">
        <v>677</v>
      </c>
      <c r="D122" s="173" t="s">
        <v>115</v>
      </c>
      <c r="E122" s="165">
        <v>6000</v>
      </c>
      <c r="F122" s="173" t="s">
        <v>674</v>
      </c>
      <c r="G122" s="173" t="s">
        <v>450</v>
      </c>
      <c r="H122" s="173" t="s">
        <v>700</v>
      </c>
      <c r="I122" s="173" t="s">
        <v>128</v>
      </c>
      <c r="J122" s="173" t="s">
        <v>677</v>
      </c>
      <c r="K122" s="173" t="s">
        <v>701</v>
      </c>
      <c r="L122" s="173" t="s">
        <v>368</v>
      </c>
      <c r="M122" s="165">
        <v>16000</v>
      </c>
      <c r="N122" s="213" t="s">
        <v>702</v>
      </c>
      <c r="O122" s="193">
        <f t="shared" si="30"/>
        <v>16000</v>
      </c>
      <c r="P122" s="194">
        <f t="shared" si="28"/>
        <v>1</v>
      </c>
      <c r="Q122" s="224">
        <f t="shared" si="31"/>
        <v>16000</v>
      </c>
      <c r="R122" s="225">
        <f t="shared" si="29"/>
        <v>1</v>
      </c>
      <c r="S122" s="236"/>
      <c r="T122" s="173"/>
      <c r="U122" s="173"/>
      <c r="V122" s="173"/>
      <c r="W122" s="173"/>
      <c r="X122" s="173"/>
      <c r="Y122" s="173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173"/>
      <c r="AK122" s="173">
        <v>8000</v>
      </c>
      <c r="AL122" s="173"/>
      <c r="AM122" s="173"/>
      <c r="AN122" s="173"/>
      <c r="AO122" s="173"/>
      <c r="AP122" s="173">
        <v>8000</v>
      </c>
      <c r="AQ122" s="173"/>
      <c r="AR122" s="173"/>
      <c r="AS122" s="173"/>
      <c r="AT122" s="173"/>
      <c r="AU122" s="173"/>
      <c r="AV122" s="173"/>
      <c r="AW122" s="173"/>
      <c r="AX122" s="173"/>
      <c r="AY122" s="173"/>
      <c r="AZ122" s="173"/>
      <c r="BA122" s="173"/>
      <c r="BB122" s="173"/>
      <c r="BC122" s="173"/>
      <c r="BD122" s="173"/>
      <c r="BE122" s="173">
        <v>8000</v>
      </c>
      <c r="BF122" s="173"/>
      <c r="BG122" s="173"/>
      <c r="BH122" s="173"/>
      <c r="BI122" s="173"/>
      <c r="BJ122" s="173">
        <v>8000</v>
      </c>
      <c r="BK122" s="173"/>
      <c r="BL122" s="173"/>
      <c r="BM122" s="173"/>
      <c r="BN122" s="173"/>
      <c r="BO122" s="173"/>
    </row>
    <row r="123" s="142" customFormat="1" spans="1:67">
      <c r="A123" s="184" t="s">
        <v>703</v>
      </c>
      <c r="B123" s="173" t="s">
        <v>383</v>
      </c>
      <c r="C123" s="173" t="s">
        <v>704</v>
      </c>
      <c r="D123" s="173" t="s">
        <v>115</v>
      </c>
      <c r="E123" s="165">
        <v>7200</v>
      </c>
      <c r="F123" s="173" t="s">
        <v>705</v>
      </c>
      <c r="G123" s="173" t="s">
        <v>706</v>
      </c>
      <c r="H123" s="173" t="s">
        <v>707</v>
      </c>
      <c r="I123" s="173" t="s">
        <v>654</v>
      </c>
      <c r="J123" s="173" t="s">
        <v>704</v>
      </c>
      <c r="K123" s="173" t="s">
        <v>708</v>
      </c>
      <c r="L123" s="173" t="s">
        <v>252</v>
      </c>
      <c r="M123" s="165">
        <v>45000</v>
      </c>
      <c r="N123" s="205" t="s">
        <v>709</v>
      </c>
      <c r="O123" s="193">
        <f t="shared" si="30"/>
        <v>45000</v>
      </c>
      <c r="P123" s="194">
        <f t="shared" si="28"/>
        <v>1</v>
      </c>
      <c r="Q123" s="224">
        <f t="shared" si="31"/>
        <v>45000</v>
      </c>
      <c r="R123" s="225">
        <f t="shared" si="29"/>
        <v>1</v>
      </c>
      <c r="S123" s="236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173"/>
      <c r="AD123" s="173"/>
      <c r="AE123" s="173"/>
      <c r="AF123" s="173"/>
      <c r="AG123" s="173">
        <v>45000</v>
      </c>
      <c r="AH123" s="173">
        <v>45000</v>
      </c>
      <c r="AI123" s="173"/>
      <c r="AJ123" s="173"/>
      <c r="AK123" s="173"/>
      <c r="AL123" s="173"/>
      <c r="AM123" s="173"/>
      <c r="AN123" s="173"/>
      <c r="AO123" s="173"/>
      <c r="AP123" s="173"/>
      <c r="AQ123" s="173"/>
      <c r="AR123" s="173"/>
      <c r="AS123" s="173"/>
      <c r="AT123" s="173"/>
      <c r="AU123" s="173"/>
      <c r="AV123" s="173"/>
      <c r="AW123" s="173"/>
      <c r="AX123" s="173"/>
      <c r="AY123" s="173"/>
      <c r="AZ123" s="173"/>
      <c r="BA123" s="173"/>
      <c r="BB123" s="173"/>
      <c r="BC123" s="173"/>
      <c r="BD123" s="173"/>
      <c r="BE123" s="173"/>
      <c r="BF123" s="173"/>
      <c r="BG123" s="173"/>
      <c r="BH123" s="173"/>
      <c r="BI123" s="173"/>
      <c r="BJ123" s="173"/>
      <c r="BK123" s="173"/>
      <c r="BL123" s="173"/>
      <c r="BM123" s="173"/>
      <c r="BN123" s="173"/>
      <c r="BO123" s="173"/>
    </row>
    <row r="124" s="142" customFormat="1" ht="33.75" spans="1:67">
      <c r="A124" s="184">
        <v>4</v>
      </c>
      <c r="B124" s="173" t="s">
        <v>383</v>
      </c>
      <c r="C124" s="173" t="s">
        <v>710</v>
      </c>
      <c r="D124" s="173"/>
      <c r="E124" s="165" t="s">
        <v>711</v>
      </c>
      <c r="F124" s="173" t="s">
        <v>712</v>
      </c>
      <c r="G124" s="173" t="s">
        <v>713</v>
      </c>
      <c r="H124" s="173" t="s">
        <v>557</v>
      </c>
      <c r="I124" s="173" t="s">
        <v>714</v>
      </c>
      <c r="J124" s="173" t="s">
        <v>710</v>
      </c>
      <c r="K124" s="173" t="s">
        <v>715</v>
      </c>
      <c r="L124" s="173" t="s">
        <v>252</v>
      </c>
      <c r="M124" s="165">
        <v>53000</v>
      </c>
      <c r="N124" s="213" t="s">
        <v>716</v>
      </c>
      <c r="O124" s="193">
        <f t="shared" si="30"/>
        <v>53000</v>
      </c>
      <c r="P124" s="194">
        <f t="shared" si="28"/>
        <v>1</v>
      </c>
      <c r="Q124" s="224">
        <f t="shared" si="31"/>
        <v>53000</v>
      </c>
      <c r="R124" s="225">
        <f t="shared" si="29"/>
        <v>1</v>
      </c>
      <c r="S124" s="236"/>
      <c r="T124" s="173"/>
      <c r="U124" s="173"/>
      <c r="V124" s="173"/>
      <c r="W124" s="173"/>
      <c r="X124" s="173"/>
      <c r="Y124" s="173"/>
      <c r="Z124" s="173"/>
      <c r="AA124" s="173"/>
      <c r="AB124" s="173"/>
      <c r="AC124" s="173"/>
      <c r="AD124" s="173"/>
      <c r="AE124" s="173"/>
      <c r="AF124" s="173"/>
      <c r="AG124" s="173">
        <v>26500</v>
      </c>
      <c r="AH124" s="173">
        <v>26500</v>
      </c>
      <c r="AI124" s="173">
        <v>26500</v>
      </c>
      <c r="AJ124" s="173">
        <v>26500</v>
      </c>
      <c r="AK124" s="173"/>
      <c r="AL124" s="173"/>
      <c r="AM124" s="173"/>
      <c r="AN124" s="173"/>
      <c r="AO124" s="173"/>
      <c r="AP124" s="173"/>
      <c r="AQ124" s="173"/>
      <c r="AR124" s="173"/>
      <c r="AS124" s="173"/>
      <c r="AT124" s="173"/>
      <c r="AU124" s="173"/>
      <c r="AV124" s="173"/>
      <c r="AW124" s="173"/>
      <c r="AX124" s="173"/>
      <c r="AY124" s="173"/>
      <c r="AZ124" s="173"/>
      <c r="BA124" s="173"/>
      <c r="BB124" s="173"/>
      <c r="BC124" s="173"/>
      <c r="BD124" s="173"/>
      <c r="BE124" s="173"/>
      <c r="BF124" s="173"/>
      <c r="BG124" s="173"/>
      <c r="BH124" s="173"/>
      <c r="BI124" s="173"/>
      <c r="BJ124" s="173"/>
      <c r="BK124" s="173"/>
      <c r="BL124" s="173"/>
      <c r="BM124" s="173"/>
      <c r="BN124" s="173"/>
      <c r="BO124" s="173"/>
    </row>
    <row r="125" s="142" customFormat="1" ht="45" spans="1:67">
      <c r="A125" s="184">
        <v>5</v>
      </c>
      <c r="B125" s="173" t="s">
        <v>594</v>
      </c>
      <c r="C125" s="173" t="s">
        <v>717</v>
      </c>
      <c r="D125" s="173" t="s">
        <v>718</v>
      </c>
      <c r="E125" s="165">
        <v>46990</v>
      </c>
      <c r="F125" s="173" t="s">
        <v>407</v>
      </c>
      <c r="G125" s="173" t="s">
        <v>408</v>
      </c>
      <c r="H125" s="173" t="s">
        <v>719</v>
      </c>
      <c r="I125" s="173" t="s">
        <v>720</v>
      </c>
      <c r="J125" s="173" t="s">
        <v>721</v>
      </c>
      <c r="K125" s="173" t="s">
        <v>722</v>
      </c>
      <c r="L125" s="173" t="s">
        <v>252</v>
      </c>
      <c r="M125" s="165">
        <v>304000</v>
      </c>
      <c r="N125" s="213" t="s">
        <v>723</v>
      </c>
      <c r="O125" s="193">
        <f t="shared" si="30"/>
        <v>304000</v>
      </c>
      <c r="P125" s="194">
        <f t="shared" si="28"/>
        <v>1</v>
      </c>
      <c r="Q125" s="224">
        <f t="shared" si="31"/>
        <v>304000</v>
      </c>
      <c r="R125" s="225">
        <f t="shared" si="29"/>
        <v>1</v>
      </c>
      <c r="S125" s="236"/>
      <c r="T125" s="173"/>
      <c r="U125" s="173"/>
      <c r="V125" s="173"/>
      <c r="W125" s="173"/>
      <c r="X125" s="173"/>
      <c r="Y125" s="173"/>
      <c r="Z125" s="173"/>
      <c r="AA125" s="173"/>
      <c r="AB125" s="173"/>
      <c r="AC125" s="173"/>
      <c r="AD125" s="173"/>
      <c r="AE125" s="173"/>
      <c r="AF125" s="173"/>
      <c r="AG125" s="173"/>
      <c r="AH125" s="173"/>
      <c r="AI125" s="173"/>
      <c r="AJ125" s="173"/>
      <c r="AK125" s="173"/>
      <c r="AL125" s="173"/>
      <c r="AM125" s="173"/>
      <c r="AN125" s="173">
        <v>67500</v>
      </c>
      <c r="AO125" s="173">
        <v>67500</v>
      </c>
      <c r="AP125" s="173"/>
      <c r="AQ125" s="173"/>
      <c r="AR125" s="173"/>
      <c r="AS125" s="173"/>
      <c r="AT125" s="173"/>
      <c r="AU125" s="173">
        <v>152000</v>
      </c>
      <c r="AV125" s="173"/>
      <c r="AW125" s="173"/>
      <c r="AX125" s="173">
        <v>152000</v>
      </c>
      <c r="AY125" s="173"/>
      <c r="AZ125" s="173"/>
      <c r="BA125" s="173"/>
      <c r="BB125" s="173"/>
      <c r="BC125" s="173"/>
      <c r="BD125" s="173"/>
      <c r="BE125" s="173"/>
      <c r="BF125" s="173"/>
      <c r="BG125" s="173"/>
      <c r="BH125" s="173"/>
      <c r="BI125" s="173"/>
      <c r="BJ125" s="173"/>
      <c r="BK125" s="173"/>
      <c r="BL125" s="173"/>
      <c r="BM125" s="173">
        <v>84500</v>
      </c>
      <c r="BN125" s="173">
        <v>84500</v>
      </c>
      <c r="BO125" s="173"/>
    </row>
    <row r="126" s="142" customFormat="1" spans="1:67">
      <c r="A126" s="184">
        <v>6</v>
      </c>
      <c r="B126" s="173" t="s">
        <v>383</v>
      </c>
      <c r="C126" s="173" t="s">
        <v>625</v>
      </c>
      <c r="D126" s="173" t="s">
        <v>514</v>
      </c>
      <c r="E126" s="165"/>
      <c r="F126" s="173" t="s">
        <v>724</v>
      </c>
      <c r="G126" s="173" t="s">
        <v>725</v>
      </c>
      <c r="H126" s="173" t="s">
        <v>726</v>
      </c>
      <c r="I126" s="173" t="s">
        <v>727</v>
      </c>
      <c r="J126" s="173" t="s">
        <v>728</v>
      </c>
      <c r="K126" s="173" t="s">
        <v>729</v>
      </c>
      <c r="L126" s="173" t="s">
        <v>461</v>
      </c>
      <c r="M126" s="165">
        <v>107000</v>
      </c>
      <c r="N126" s="205" t="s">
        <v>730</v>
      </c>
      <c r="O126" s="193">
        <f t="shared" si="30"/>
        <v>107000</v>
      </c>
      <c r="P126" s="194">
        <f t="shared" si="28"/>
        <v>1</v>
      </c>
      <c r="Q126" s="224">
        <f t="shared" si="31"/>
        <v>107000</v>
      </c>
      <c r="R126" s="225">
        <f t="shared" si="29"/>
        <v>1</v>
      </c>
      <c r="S126" s="236"/>
      <c r="T126" s="173"/>
      <c r="U126" s="173"/>
      <c r="V126" s="173"/>
      <c r="W126" s="173"/>
      <c r="X126" s="173"/>
      <c r="Y126" s="173"/>
      <c r="Z126" s="173"/>
      <c r="AA126" s="173"/>
      <c r="AB126" s="173"/>
      <c r="AC126" s="173"/>
      <c r="AD126" s="173"/>
      <c r="AE126" s="173"/>
      <c r="AF126" s="173"/>
      <c r="AG126" s="173">
        <v>107000</v>
      </c>
      <c r="AH126" s="173">
        <v>107000</v>
      </c>
      <c r="AI126" s="173"/>
      <c r="AJ126" s="173"/>
      <c r="AK126" s="173"/>
      <c r="AL126" s="173"/>
      <c r="AM126" s="173"/>
      <c r="AN126" s="173"/>
      <c r="AO126" s="173"/>
      <c r="AP126" s="173"/>
      <c r="AQ126" s="173"/>
      <c r="AR126" s="173"/>
      <c r="AS126" s="173"/>
      <c r="AT126" s="173"/>
      <c r="AU126" s="173"/>
      <c r="AV126" s="173"/>
      <c r="AW126" s="173"/>
      <c r="AX126" s="173"/>
      <c r="AY126" s="173"/>
      <c r="AZ126" s="173"/>
      <c r="BA126" s="173"/>
      <c r="BB126" s="173"/>
      <c r="BC126" s="173"/>
      <c r="BD126" s="173"/>
      <c r="BE126" s="173"/>
      <c r="BF126" s="173"/>
      <c r="BG126" s="173"/>
      <c r="BH126" s="173"/>
      <c r="BI126" s="173"/>
      <c r="BJ126" s="173"/>
      <c r="BK126" s="173"/>
      <c r="BL126" s="173"/>
      <c r="BM126" s="173"/>
      <c r="BN126" s="173"/>
      <c r="BO126" s="173"/>
    </row>
    <row r="127" s="142" customFormat="1" ht="33.75" spans="1:67">
      <c r="A127" s="184">
        <v>7</v>
      </c>
      <c r="B127" s="173" t="s">
        <v>689</v>
      </c>
      <c r="C127" s="173" t="s">
        <v>665</v>
      </c>
      <c r="D127" s="173" t="s">
        <v>124</v>
      </c>
      <c r="E127" s="165">
        <v>3000</v>
      </c>
      <c r="F127" s="173" t="s">
        <v>371</v>
      </c>
      <c r="G127" s="173" t="s">
        <v>372</v>
      </c>
      <c r="H127" s="173" t="s">
        <v>731</v>
      </c>
      <c r="I127" s="173" t="s">
        <v>128</v>
      </c>
      <c r="J127" s="173" t="s">
        <v>677</v>
      </c>
      <c r="K127" s="173" t="s">
        <v>701</v>
      </c>
      <c r="L127" s="173" t="s">
        <v>368</v>
      </c>
      <c r="M127" s="165">
        <v>15000</v>
      </c>
      <c r="N127" s="213" t="s">
        <v>732</v>
      </c>
      <c r="O127" s="193">
        <f t="shared" si="30"/>
        <v>15000</v>
      </c>
      <c r="P127" s="194">
        <f t="shared" si="28"/>
        <v>1</v>
      </c>
      <c r="Q127" s="224">
        <f t="shared" si="31"/>
        <v>15000</v>
      </c>
      <c r="R127" s="225">
        <f t="shared" si="29"/>
        <v>1</v>
      </c>
      <c r="S127" s="236"/>
      <c r="T127" s="173"/>
      <c r="U127" s="173"/>
      <c r="V127" s="173"/>
      <c r="W127" s="173"/>
      <c r="X127" s="173"/>
      <c r="Y127" s="173"/>
      <c r="Z127" s="173"/>
      <c r="AA127" s="173"/>
      <c r="AB127" s="173"/>
      <c r="AC127" s="173"/>
      <c r="AD127" s="173"/>
      <c r="AE127" s="173"/>
      <c r="AF127" s="173"/>
      <c r="AG127" s="173">
        <v>7500</v>
      </c>
      <c r="AH127" s="173">
        <v>7500</v>
      </c>
      <c r="AI127" s="173"/>
      <c r="AJ127" s="173"/>
      <c r="AK127" s="173"/>
      <c r="AL127" s="173"/>
      <c r="AM127" s="173">
        <v>4500</v>
      </c>
      <c r="AN127" s="173">
        <v>4500</v>
      </c>
      <c r="AO127" s="173"/>
      <c r="AP127" s="173"/>
      <c r="AQ127" s="173"/>
      <c r="AR127" s="173"/>
      <c r="AS127" s="173"/>
      <c r="AT127" s="173"/>
      <c r="AU127" s="173"/>
      <c r="AV127" s="173"/>
      <c r="AW127" s="173"/>
      <c r="AX127" s="173"/>
      <c r="AY127" s="173"/>
      <c r="AZ127" s="173"/>
      <c r="BA127" s="173"/>
      <c r="BB127" s="173"/>
      <c r="BC127" s="173"/>
      <c r="BD127" s="173"/>
      <c r="BE127" s="173">
        <v>3000</v>
      </c>
      <c r="BF127" s="173">
        <v>3000</v>
      </c>
      <c r="BG127" s="173"/>
      <c r="BH127" s="173"/>
      <c r="BI127" s="173"/>
      <c r="BJ127" s="173"/>
      <c r="BK127" s="173"/>
      <c r="BL127" s="173"/>
      <c r="BM127" s="173"/>
      <c r="BN127" s="173"/>
      <c r="BO127" s="173"/>
    </row>
    <row r="128" s="142" customFormat="1" ht="33.75" spans="1:67">
      <c r="A128" s="184">
        <v>8</v>
      </c>
      <c r="B128" s="173" t="s">
        <v>689</v>
      </c>
      <c r="C128" s="173" t="s">
        <v>665</v>
      </c>
      <c r="D128" s="173" t="s">
        <v>124</v>
      </c>
      <c r="E128" s="165">
        <v>3000</v>
      </c>
      <c r="F128" s="173" t="s">
        <v>733</v>
      </c>
      <c r="G128" s="173" t="s">
        <v>734</v>
      </c>
      <c r="H128" s="173" t="s">
        <v>735</v>
      </c>
      <c r="I128" s="173" t="s">
        <v>128</v>
      </c>
      <c r="J128" s="173" t="s">
        <v>677</v>
      </c>
      <c r="K128" s="173" t="s">
        <v>701</v>
      </c>
      <c r="L128" s="173" t="s">
        <v>368</v>
      </c>
      <c r="M128" s="165">
        <v>15000</v>
      </c>
      <c r="N128" s="213" t="s">
        <v>732</v>
      </c>
      <c r="O128" s="193">
        <f t="shared" si="30"/>
        <v>15000</v>
      </c>
      <c r="P128" s="194">
        <f t="shared" si="28"/>
        <v>1</v>
      </c>
      <c r="Q128" s="224">
        <f t="shared" si="31"/>
        <v>15000</v>
      </c>
      <c r="R128" s="225">
        <f t="shared" si="29"/>
        <v>1</v>
      </c>
      <c r="S128" s="236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173"/>
      <c r="AD128" s="173"/>
      <c r="AE128" s="173"/>
      <c r="AF128" s="173"/>
      <c r="AG128" s="173">
        <v>7500</v>
      </c>
      <c r="AH128" s="173">
        <v>7500</v>
      </c>
      <c r="AI128" s="173"/>
      <c r="AJ128" s="173"/>
      <c r="AK128" s="173"/>
      <c r="AL128" s="173"/>
      <c r="AM128" s="173">
        <v>4500</v>
      </c>
      <c r="AN128" s="173">
        <v>4500</v>
      </c>
      <c r="AO128" s="173"/>
      <c r="AP128" s="173"/>
      <c r="AQ128" s="173"/>
      <c r="AR128" s="173"/>
      <c r="AS128" s="173"/>
      <c r="AT128" s="173"/>
      <c r="AU128" s="173"/>
      <c r="AV128" s="173"/>
      <c r="AW128" s="173"/>
      <c r="AX128" s="173"/>
      <c r="AY128" s="173"/>
      <c r="AZ128" s="173"/>
      <c r="BA128" s="173"/>
      <c r="BB128" s="173"/>
      <c r="BC128" s="173"/>
      <c r="BD128" s="173"/>
      <c r="BE128" s="173">
        <v>3000</v>
      </c>
      <c r="BF128" s="173">
        <v>3000</v>
      </c>
      <c r="BG128" s="173"/>
      <c r="BH128" s="173"/>
      <c r="BI128" s="173"/>
      <c r="BJ128" s="173"/>
      <c r="BK128" s="173"/>
      <c r="BL128" s="173"/>
      <c r="BM128" s="173"/>
      <c r="BN128" s="173"/>
      <c r="BO128" s="173"/>
    </row>
    <row r="129" s="142" customFormat="1" ht="33.75" spans="1:67">
      <c r="A129" s="184">
        <v>9</v>
      </c>
      <c r="B129" s="173" t="s">
        <v>736</v>
      </c>
      <c r="C129" s="173" t="s">
        <v>671</v>
      </c>
      <c r="D129" s="173" t="s">
        <v>115</v>
      </c>
      <c r="E129" s="165">
        <v>126000</v>
      </c>
      <c r="F129" s="173" t="s">
        <v>737</v>
      </c>
      <c r="G129" s="173" t="s">
        <v>738</v>
      </c>
      <c r="H129" s="173" t="s">
        <v>739</v>
      </c>
      <c r="I129" s="173" t="s">
        <v>740</v>
      </c>
      <c r="J129" s="173" t="s">
        <v>677</v>
      </c>
      <c r="K129" s="173" t="s">
        <v>701</v>
      </c>
      <c r="L129" s="173" t="s">
        <v>368</v>
      </c>
      <c r="M129" s="165">
        <v>195570</v>
      </c>
      <c r="N129" s="213" t="s">
        <v>741</v>
      </c>
      <c r="O129" s="193">
        <f t="shared" si="30"/>
        <v>78228</v>
      </c>
      <c r="P129" s="194">
        <f t="shared" si="28"/>
        <v>0.4</v>
      </c>
      <c r="Q129" s="224">
        <f t="shared" si="31"/>
        <v>195570</v>
      </c>
      <c r="R129" s="225">
        <f t="shared" si="29"/>
        <v>1</v>
      </c>
      <c r="S129" s="236"/>
      <c r="T129" s="173">
        <v>27342</v>
      </c>
      <c r="U129" s="173"/>
      <c r="V129" s="173"/>
      <c r="W129" s="173"/>
      <c r="X129" s="173"/>
      <c r="Y129" s="173"/>
      <c r="Z129" s="173"/>
      <c r="AA129" s="173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>
        <v>78228</v>
      </c>
      <c r="AL129" s="173">
        <v>78228</v>
      </c>
      <c r="AM129" s="173"/>
      <c r="AN129" s="173">
        <v>90000</v>
      </c>
      <c r="AO129" s="173"/>
      <c r="AP129" s="173"/>
      <c r="AQ129" s="173"/>
      <c r="AR129" s="173"/>
      <c r="AS129" s="173"/>
      <c r="AT129" s="173"/>
      <c r="AU129" s="173"/>
      <c r="AV129" s="173"/>
      <c r="AW129" s="173"/>
      <c r="AX129" s="173"/>
      <c r="AY129" s="173"/>
      <c r="AZ129" s="173"/>
      <c r="BA129" s="173"/>
      <c r="BB129" s="173"/>
      <c r="BC129" s="173"/>
      <c r="BD129" s="173"/>
      <c r="BE129" s="173"/>
      <c r="BF129" s="173"/>
      <c r="BG129" s="173"/>
      <c r="BH129" s="173"/>
      <c r="BI129" s="173"/>
      <c r="BJ129" s="173"/>
      <c r="BK129" s="173"/>
      <c r="BL129" s="173"/>
      <c r="BM129" s="173"/>
      <c r="BN129" s="173"/>
      <c r="BO129" s="173"/>
    </row>
    <row r="130" s="142" customFormat="1" ht="33.75" spans="1:67">
      <c r="A130" s="184">
        <v>10</v>
      </c>
      <c r="B130" s="173" t="s">
        <v>689</v>
      </c>
      <c r="C130" s="173" t="s">
        <v>742</v>
      </c>
      <c r="D130" s="173" t="s">
        <v>124</v>
      </c>
      <c r="E130" s="165">
        <v>7160</v>
      </c>
      <c r="F130" s="173" t="s">
        <v>174</v>
      </c>
      <c r="G130" s="173" t="s">
        <v>175</v>
      </c>
      <c r="H130" s="173" t="s">
        <v>743</v>
      </c>
      <c r="I130" s="173" t="s">
        <v>128</v>
      </c>
      <c r="J130" s="173" t="s">
        <v>643</v>
      </c>
      <c r="K130" s="173" t="s">
        <v>744</v>
      </c>
      <c r="L130" s="173" t="s">
        <v>368</v>
      </c>
      <c r="M130" s="165">
        <v>34000</v>
      </c>
      <c r="N130" s="213" t="s">
        <v>745</v>
      </c>
      <c r="O130" s="193">
        <f t="shared" si="30"/>
        <v>34000</v>
      </c>
      <c r="P130" s="194">
        <f t="shared" si="28"/>
        <v>1</v>
      </c>
      <c r="Q130" s="224">
        <f t="shared" si="31"/>
        <v>34000</v>
      </c>
      <c r="R130" s="225">
        <f t="shared" si="29"/>
        <v>1</v>
      </c>
      <c r="S130" s="236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>
        <v>10200</v>
      </c>
      <c r="AJ130" s="173">
        <v>10200</v>
      </c>
      <c r="AK130" s="173"/>
      <c r="AL130" s="173"/>
      <c r="AM130" s="173"/>
      <c r="AN130" s="173"/>
      <c r="AO130" s="173">
        <v>17000</v>
      </c>
      <c r="AP130" s="173">
        <v>17000</v>
      </c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>
        <v>6800</v>
      </c>
      <c r="BB130" s="173"/>
      <c r="BC130" s="173"/>
      <c r="BD130" s="173">
        <v>6800</v>
      </c>
      <c r="BE130" s="173"/>
      <c r="BF130" s="173"/>
      <c r="BG130" s="173"/>
      <c r="BH130" s="173"/>
      <c r="BI130" s="173"/>
      <c r="BJ130" s="173"/>
      <c r="BK130" s="173"/>
      <c r="BL130" s="173"/>
      <c r="BM130" s="173"/>
      <c r="BN130" s="173"/>
      <c r="BO130" s="173"/>
    </row>
    <row r="131" s="142" customFormat="1" spans="1:67">
      <c r="A131" s="184">
        <v>11</v>
      </c>
      <c r="B131" s="173" t="s">
        <v>230</v>
      </c>
      <c r="C131" s="173" t="s">
        <v>728</v>
      </c>
      <c r="D131" s="173" t="s">
        <v>124</v>
      </c>
      <c r="E131" s="165">
        <v>245</v>
      </c>
      <c r="F131" s="173" t="s">
        <v>293</v>
      </c>
      <c r="G131" s="173" t="s">
        <v>294</v>
      </c>
      <c r="H131" s="173"/>
      <c r="I131" s="173" t="s">
        <v>746</v>
      </c>
      <c r="J131" s="173" t="s">
        <v>728</v>
      </c>
      <c r="K131" s="173" t="s">
        <v>729</v>
      </c>
      <c r="L131" s="173" t="s">
        <v>368</v>
      </c>
      <c r="M131" s="165">
        <v>3780</v>
      </c>
      <c r="N131" s="205" t="s">
        <v>747</v>
      </c>
      <c r="O131" s="193">
        <f t="shared" si="30"/>
        <v>3780</v>
      </c>
      <c r="P131" s="194">
        <f t="shared" si="28"/>
        <v>1</v>
      </c>
      <c r="Q131" s="224">
        <f t="shared" si="31"/>
        <v>3780</v>
      </c>
      <c r="R131" s="225">
        <f t="shared" si="29"/>
        <v>1</v>
      </c>
      <c r="S131" s="236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>
        <v>3780</v>
      </c>
      <c r="AN131" s="173"/>
      <c r="AO131" s="173"/>
      <c r="AP131" s="173"/>
      <c r="AQ131" s="173"/>
      <c r="AR131" s="173">
        <v>3780</v>
      </c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 s="173"/>
      <c r="BK131" s="173"/>
      <c r="BL131" s="173"/>
      <c r="BM131" s="173"/>
      <c r="BN131" s="173"/>
      <c r="BO131" s="173"/>
    </row>
    <row r="132" s="142" customFormat="1" spans="1:67">
      <c r="A132" s="184">
        <v>12</v>
      </c>
      <c r="B132" s="173" t="s">
        <v>230</v>
      </c>
      <c r="C132" s="173" t="s">
        <v>708</v>
      </c>
      <c r="D132" s="173"/>
      <c r="E132" s="165"/>
      <c r="F132" s="173" t="s">
        <v>487</v>
      </c>
      <c r="G132" s="173" t="s">
        <v>488</v>
      </c>
      <c r="H132" s="173" t="s">
        <v>748</v>
      </c>
      <c r="I132" s="173" t="s">
        <v>749</v>
      </c>
      <c r="J132" s="173" t="s">
        <v>708</v>
      </c>
      <c r="K132" s="173" t="s">
        <v>710</v>
      </c>
      <c r="L132" s="173" t="s">
        <v>368</v>
      </c>
      <c r="M132" s="165">
        <v>1280</v>
      </c>
      <c r="N132" s="205" t="s">
        <v>486</v>
      </c>
      <c r="O132" s="193">
        <f t="shared" si="30"/>
        <v>1280</v>
      </c>
      <c r="P132" s="194">
        <f t="shared" si="28"/>
        <v>1</v>
      </c>
      <c r="Q132" s="224">
        <f t="shared" si="31"/>
        <v>1280</v>
      </c>
      <c r="R132" s="225">
        <f t="shared" si="29"/>
        <v>1</v>
      </c>
      <c r="S132" s="236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>
        <v>1280</v>
      </c>
      <c r="AN132" s="173">
        <v>1280</v>
      </c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173"/>
      <c r="BI132" s="173"/>
      <c r="BJ132" s="173"/>
      <c r="BK132" s="173"/>
      <c r="BL132" s="173"/>
      <c r="BM132" s="173"/>
      <c r="BN132" s="173"/>
      <c r="BO132" s="173"/>
    </row>
    <row r="133" spans="1:67">
      <c r="A133" s="174" t="s">
        <v>47</v>
      </c>
      <c r="B133" s="175"/>
      <c r="C133" s="175"/>
      <c r="D133" s="175"/>
      <c r="E133" s="176"/>
      <c r="F133" s="175"/>
      <c r="G133" s="175"/>
      <c r="H133" s="175"/>
      <c r="I133" s="175"/>
      <c r="J133" s="175"/>
      <c r="K133" s="175"/>
      <c r="L133" s="175"/>
      <c r="M133" s="206">
        <f>SUM(M121:M132)</f>
        <v>804630</v>
      </c>
      <c r="N133" s="207"/>
      <c r="O133" s="208">
        <f>SUM(O121:O132)</f>
        <v>687288</v>
      </c>
      <c r="P133" s="209">
        <f t="shared" si="28"/>
        <v>0.85416651131576</v>
      </c>
      <c r="Q133" s="208">
        <f>SUM(Q121:Q132)</f>
        <v>804630</v>
      </c>
      <c r="R133" s="234">
        <f t="shared" si="29"/>
        <v>1</v>
      </c>
      <c r="S133" s="23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5"/>
      <c r="AT133" s="175"/>
      <c r="AU133" s="175"/>
      <c r="AV133" s="175"/>
      <c r="AW133" s="175"/>
      <c r="AX133" s="175"/>
      <c r="AY133" s="175"/>
      <c r="AZ133" s="175"/>
      <c r="BA133" s="175"/>
      <c r="BB133" s="175"/>
      <c r="BC133" s="175"/>
      <c r="BD133" s="175"/>
      <c r="BE133" s="175"/>
      <c r="BF133" s="175"/>
      <c r="BG133" s="175"/>
      <c r="BH133" s="175"/>
      <c r="BI133" s="175"/>
      <c r="BJ133" s="175"/>
      <c r="BK133" s="175"/>
      <c r="BL133" s="175"/>
      <c r="BM133" s="175"/>
      <c r="BN133" s="175"/>
      <c r="BO133" s="179"/>
    </row>
    <row r="134" spans="1:67">
      <c r="A134" s="174" t="s">
        <v>750</v>
      </c>
      <c r="B134" s="175"/>
      <c r="C134" s="175"/>
      <c r="D134" s="175"/>
      <c r="E134" s="176"/>
      <c r="F134" s="175"/>
      <c r="G134" s="175"/>
      <c r="H134" s="175"/>
      <c r="I134" s="175"/>
      <c r="J134" s="175"/>
      <c r="K134" s="175"/>
      <c r="L134" s="175"/>
      <c r="M134" s="176">
        <f>M120+M133</f>
        <v>17395206.97</v>
      </c>
      <c r="N134" s="207" t="s">
        <v>751</v>
      </c>
      <c r="O134" s="208">
        <f>O120+O133</f>
        <v>7624271.16</v>
      </c>
      <c r="P134" s="209">
        <f t="shared" si="28"/>
        <v>0.438297237460234</v>
      </c>
      <c r="Q134" s="208">
        <f>Q120+Q133</f>
        <v>6680252.62</v>
      </c>
      <c r="R134" s="234">
        <f t="shared" si="29"/>
        <v>0.384028349390775</v>
      </c>
      <c r="S134" s="23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5"/>
      <c r="AT134" s="175"/>
      <c r="AU134" s="175"/>
      <c r="AV134" s="175"/>
      <c r="AW134" s="175"/>
      <c r="AX134" s="175"/>
      <c r="AY134" s="175"/>
      <c r="AZ134" s="175"/>
      <c r="BA134" s="175"/>
      <c r="BB134" s="175"/>
      <c r="BC134" s="175"/>
      <c r="BD134" s="175"/>
      <c r="BE134" s="175"/>
      <c r="BF134" s="175"/>
      <c r="BG134" s="175"/>
      <c r="BH134" s="175"/>
      <c r="BI134" s="175"/>
      <c r="BJ134" s="175"/>
      <c r="BK134" s="175"/>
      <c r="BL134" s="175"/>
      <c r="BM134" s="175"/>
      <c r="BN134" s="175"/>
      <c r="BO134" s="179"/>
    </row>
    <row r="135" s="142" customFormat="1" spans="1:67">
      <c r="A135" s="248" t="s">
        <v>513</v>
      </c>
      <c r="B135" s="173" t="s">
        <v>271</v>
      </c>
      <c r="C135" s="173" t="s">
        <v>752</v>
      </c>
      <c r="D135" s="173"/>
      <c r="E135" s="165"/>
      <c r="F135" s="173" t="s">
        <v>753</v>
      </c>
      <c r="G135" s="173" t="s">
        <v>754</v>
      </c>
      <c r="H135" s="173" t="s">
        <v>755</v>
      </c>
      <c r="I135" s="173" t="s">
        <v>756</v>
      </c>
      <c r="J135" s="173" t="s">
        <v>757</v>
      </c>
      <c r="K135" s="173" t="s">
        <v>518</v>
      </c>
      <c r="L135" s="173" t="s">
        <v>461</v>
      </c>
      <c r="M135" s="165">
        <v>51500</v>
      </c>
      <c r="N135" s="205" t="s">
        <v>758</v>
      </c>
      <c r="O135" s="193">
        <f>S135+U135+W135+Y135+AA135+AC135+AE135+AG135+AI135+AK135+AM135+AO135+AQ135+AS135+AU135+AW135+AY135+BA135+BC135+BE135+BG135+BI135+BK135+BM135</f>
        <v>51500</v>
      </c>
      <c r="P135" s="194">
        <f t="shared" si="28"/>
        <v>1</v>
      </c>
      <c r="Q135" s="224">
        <f>T135+V135+X135+Z135+AB135+AD135+AF135+AH135+AJ135+AL135+AN135+AP135+AR135+AT135+AV135+AX135+AZ135+BB135+BD135+BF135+BH135+BJ135+BL135+BN135</f>
        <v>51500</v>
      </c>
      <c r="R135" s="225">
        <f t="shared" si="29"/>
        <v>1</v>
      </c>
      <c r="S135" s="236"/>
      <c r="T135" s="173"/>
      <c r="U135" s="173"/>
      <c r="V135" s="173"/>
      <c r="W135" s="173"/>
      <c r="X135" s="173"/>
      <c r="Y135" s="173"/>
      <c r="Z135" s="173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>
        <v>51500</v>
      </c>
      <c r="AK135" s="173"/>
      <c r="AL135" s="173"/>
      <c r="AM135" s="173"/>
      <c r="AN135" s="173"/>
      <c r="AO135" s="173"/>
      <c r="AP135" s="173"/>
      <c r="AQ135" s="173"/>
      <c r="AR135" s="173"/>
      <c r="AS135" s="173"/>
      <c r="AT135" s="173"/>
      <c r="AU135" s="173"/>
      <c r="AV135" s="173"/>
      <c r="AW135" s="173"/>
      <c r="AX135" s="173"/>
      <c r="AY135" s="173"/>
      <c r="AZ135" s="173"/>
      <c r="BA135" s="173"/>
      <c r="BB135" s="173"/>
      <c r="BC135" s="173">
        <v>51500</v>
      </c>
      <c r="BD135" s="173"/>
      <c r="BE135" s="173"/>
      <c r="BF135" s="173"/>
      <c r="BG135" s="173"/>
      <c r="BH135" s="173"/>
      <c r="BI135" s="173"/>
      <c r="BJ135" s="173"/>
      <c r="BK135" s="173"/>
      <c r="BL135" s="173"/>
      <c r="BM135" s="173"/>
      <c r="BN135" s="173"/>
      <c r="BO135" s="173"/>
    </row>
    <row r="136" s="142" customFormat="1" ht="22.5" spans="1:67">
      <c r="A136" s="184">
        <v>1</v>
      </c>
      <c r="B136" s="173" t="s">
        <v>689</v>
      </c>
      <c r="C136" s="173" t="s">
        <v>759</v>
      </c>
      <c r="D136" s="173" t="s">
        <v>124</v>
      </c>
      <c r="E136" s="165">
        <v>4000</v>
      </c>
      <c r="F136" s="173" t="s">
        <v>760</v>
      </c>
      <c r="G136" s="173" t="s">
        <v>761</v>
      </c>
      <c r="H136" s="173" t="s">
        <v>762</v>
      </c>
      <c r="I136" s="173" t="s">
        <v>561</v>
      </c>
      <c r="J136" s="173" t="s">
        <v>381</v>
      </c>
      <c r="K136" s="173" t="s">
        <v>425</v>
      </c>
      <c r="L136" s="173" t="s">
        <v>368</v>
      </c>
      <c r="M136" s="165">
        <v>14000</v>
      </c>
      <c r="N136" s="213" t="s">
        <v>763</v>
      </c>
      <c r="O136" s="193">
        <f>S136+U136+W136+Y136+AA136+AC136+AE136+AG136+AI136+AK136+AM136+AO136+AQ136+AS136+AU136+AW136+AY136+BA136+BC136+BE136+BG136+BI136+BK136+BM136</f>
        <v>14000</v>
      </c>
      <c r="P136" s="194">
        <f t="shared" si="28"/>
        <v>1</v>
      </c>
      <c r="Q136" s="224">
        <f>T136+V136+X136+Z136+AB136+AD136+AF136+AH136+AJ136+AL136+AN136+AP136+AR136+AT136+AV136+AX136+AZ136+BB136+BD136+BF136+BH136+BJ136+BL136+BN136</f>
        <v>14000</v>
      </c>
      <c r="R136" s="225">
        <f t="shared" si="29"/>
        <v>1</v>
      </c>
      <c r="S136" s="236"/>
      <c r="T136" s="173"/>
      <c r="U136" s="173"/>
      <c r="V136" s="173"/>
      <c r="W136" s="173"/>
      <c r="X136" s="173"/>
      <c r="Y136" s="173"/>
      <c r="Z136" s="173"/>
      <c r="AA136" s="173"/>
      <c r="AB136" s="173"/>
      <c r="AC136" s="173"/>
      <c r="AD136" s="173"/>
      <c r="AE136" s="173"/>
      <c r="AF136" s="173"/>
      <c r="AG136" s="173"/>
      <c r="AH136" s="173"/>
      <c r="AI136" s="173"/>
      <c r="AJ136" s="173"/>
      <c r="AK136" s="173">
        <v>14000</v>
      </c>
      <c r="AL136" s="173">
        <v>8400</v>
      </c>
      <c r="AM136" s="173"/>
      <c r="AN136" s="173"/>
      <c r="AO136" s="173"/>
      <c r="AP136" s="173"/>
      <c r="AQ136" s="173"/>
      <c r="AR136" s="173"/>
      <c r="AS136" s="173"/>
      <c r="AT136" s="173"/>
      <c r="AU136" s="173"/>
      <c r="AV136" s="173"/>
      <c r="AW136" s="173"/>
      <c r="AX136" s="173"/>
      <c r="AY136" s="173"/>
      <c r="AZ136" s="173">
        <v>5600</v>
      </c>
      <c r="BA136" s="173"/>
      <c r="BB136" s="173"/>
      <c r="BC136" s="173"/>
      <c r="BD136" s="173"/>
      <c r="BE136" s="173"/>
      <c r="BF136" s="173"/>
      <c r="BG136" s="173"/>
      <c r="BH136" s="173"/>
      <c r="BI136" s="173"/>
      <c r="BJ136" s="173"/>
      <c r="BK136" s="173"/>
      <c r="BL136" s="173"/>
      <c r="BM136" s="173"/>
      <c r="BN136" s="173"/>
      <c r="BO136" s="173"/>
    </row>
    <row r="137" s="142" customFormat="1" ht="22.5" spans="1:67">
      <c r="A137" s="184">
        <v>2</v>
      </c>
      <c r="B137" s="173" t="s">
        <v>689</v>
      </c>
      <c r="C137" s="173" t="s">
        <v>764</v>
      </c>
      <c r="D137" s="173" t="s">
        <v>115</v>
      </c>
      <c r="E137" s="165">
        <v>6000</v>
      </c>
      <c r="F137" s="173" t="s">
        <v>765</v>
      </c>
      <c r="G137" s="173" t="s">
        <v>766</v>
      </c>
      <c r="H137" s="173" t="s">
        <v>767</v>
      </c>
      <c r="I137" s="173" t="s">
        <v>128</v>
      </c>
      <c r="J137" s="173" t="s">
        <v>660</v>
      </c>
      <c r="K137" s="173" t="s">
        <v>768</v>
      </c>
      <c r="L137" s="173" t="s">
        <v>368</v>
      </c>
      <c r="M137" s="165">
        <v>23000</v>
      </c>
      <c r="N137" s="213" t="s">
        <v>769</v>
      </c>
      <c r="O137" s="193">
        <f>S137+U137+W137+Y137+AA137+AC137+AE137+AG137+AI137+AK137+AM137+AO137+AQ137+AS137+AU137+AW137+AY137+BA137+BC137+BE137+BG137+BI137+BK137+BM137</f>
        <v>23000</v>
      </c>
      <c r="P137" s="194">
        <f t="shared" si="28"/>
        <v>1</v>
      </c>
      <c r="Q137" s="224">
        <f>T137+V137+X137+Z137+AB137+AD137+AF137+AH137+AJ137+AL137+AN137+AP137+AR137+AT137+AV137+AX137+AZ137+BB137+BD137+BF137+BH137+BJ137+BL137+BN137</f>
        <v>23000</v>
      </c>
      <c r="R137" s="225">
        <f t="shared" si="29"/>
        <v>1</v>
      </c>
      <c r="S137" s="236"/>
      <c r="T137" s="173"/>
      <c r="U137" s="173"/>
      <c r="V137" s="173"/>
      <c r="W137" s="173"/>
      <c r="X137" s="173"/>
      <c r="Y137" s="173"/>
      <c r="Z137" s="173"/>
      <c r="AA137" s="173"/>
      <c r="AB137" s="173"/>
      <c r="AC137" s="173"/>
      <c r="AD137" s="173"/>
      <c r="AE137" s="173"/>
      <c r="AF137" s="173"/>
      <c r="AG137" s="173"/>
      <c r="AH137" s="173"/>
      <c r="AI137" s="173"/>
      <c r="AJ137" s="173"/>
      <c r="AK137" s="173">
        <v>11500</v>
      </c>
      <c r="AL137" s="173"/>
      <c r="AM137" s="173"/>
      <c r="AN137" s="173"/>
      <c r="AO137" s="173"/>
      <c r="AP137" s="173">
        <v>11500</v>
      </c>
      <c r="AQ137" s="173"/>
      <c r="AR137" s="173"/>
      <c r="AS137" s="173"/>
      <c r="AT137" s="173"/>
      <c r="AU137" s="173"/>
      <c r="AV137" s="173"/>
      <c r="AW137" s="173"/>
      <c r="AX137" s="173"/>
      <c r="AY137" s="173"/>
      <c r="AZ137" s="173"/>
      <c r="BA137" s="173"/>
      <c r="BB137" s="173"/>
      <c r="BC137" s="173"/>
      <c r="BD137" s="173"/>
      <c r="BE137" s="173"/>
      <c r="BF137" s="173"/>
      <c r="BG137" s="173"/>
      <c r="BH137" s="173"/>
      <c r="BI137" s="173">
        <v>11500</v>
      </c>
      <c r="BJ137" s="173"/>
      <c r="BK137" s="173"/>
      <c r="BL137" s="173">
        <v>11500</v>
      </c>
      <c r="BM137" s="173"/>
      <c r="BN137" s="173"/>
      <c r="BO137" s="173"/>
    </row>
    <row r="138" s="142" customFormat="1" spans="1:67">
      <c r="A138" s="184">
        <v>3</v>
      </c>
      <c r="B138" s="173" t="s">
        <v>770</v>
      </c>
      <c r="C138" s="173" t="s">
        <v>742</v>
      </c>
      <c r="D138" s="173"/>
      <c r="E138" s="165"/>
      <c r="F138" s="173" t="s">
        <v>771</v>
      </c>
      <c r="G138" s="173" t="s">
        <v>175</v>
      </c>
      <c r="H138" s="173" t="s">
        <v>772</v>
      </c>
      <c r="I138" s="173" t="s">
        <v>773</v>
      </c>
      <c r="J138" s="173" t="s">
        <v>518</v>
      </c>
      <c r="K138" s="173" t="s">
        <v>774</v>
      </c>
      <c r="L138" s="173" t="s">
        <v>368</v>
      </c>
      <c r="M138" s="165">
        <v>30000</v>
      </c>
      <c r="N138" s="205" t="s">
        <v>775</v>
      </c>
      <c r="O138" s="193">
        <f>S138+U138+W138+Y138+AA138+AC138+AE138+AG138+AI138+AK138+AM138+AO138+AQ138+AS138+AU138+AW138+AY138+BA138+BC138+BE138+BG138+BI138+BK138+BM138</f>
        <v>30000</v>
      </c>
      <c r="P138" s="194">
        <f t="shared" si="28"/>
        <v>1</v>
      </c>
      <c r="Q138" s="224">
        <f>T138+V138+X138+Z138+AB138+AD138+AF138+AH138+AJ138+AL138+AN138+AP138+AR138+AT138+AV138+AX138+AZ138+BB138+BD138+BF138+BH138+BJ138+BL138+BN138</f>
        <v>30000</v>
      </c>
      <c r="R138" s="225">
        <f t="shared" si="29"/>
        <v>1</v>
      </c>
      <c r="S138" s="236"/>
      <c r="T138" s="173"/>
      <c r="U138" s="173"/>
      <c r="V138" s="173"/>
      <c r="W138" s="173"/>
      <c r="X138" s="173"/>
      <c r="Y138" s="173"/>
      <c r="Z138" s="173"/>
      <c r="AA138" s="173"/>
      <c r="AB138" s="173"/>
      <c r="AC138" s="173"/>
      <c r="AD138" s="173"/>
      <c r="AE138" s="173"/>
      <c r="AF138" s="173"/>
      <c r="AG138" s="173"/>
      <c r="AH138" s="173"/>
      <c r="AI138" s="173">
        <v>30000</v>
      </c>
      <c r="AJ138" s="173">
        <v>30000</v>
      </c>
      <c r="AK138" s="173"/>
      <c r="AL138" s="173"/>
      <c r="AM138" s="173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3"/>
      <c r="AY138" s="173"/>
      <c r="AZ138" s="173"/>
      <c r="BA138" s="173"/>
      <c r="BB138" s="173"/>
      <c r="BC138" s="173"/>
      <c r="BD138" s="173"/>
      <c r="BE138" s="173"/>
      <c r="BF138" s="173"/>
      <c r="BG138" s="173"/>
      <c r="BH138" s="173"/>
      <c r="BI138" s="173"/>
      <c r="BJ138" s="173"/>
      <c r="BK138" s="173"/>
      <c r="BL138" s="173"/>
      <c r="BM138" s="173"/>
      <c r="BN138" s="173"/>
      <c r="BO138" s="173"/>
    </row>
    <row r="139" spans="1:67">
      <c r="A139" s="174" t="s">
        <v>49</v>
      </c>
      <c r="B139" s="175"/>
      <c r="C139" s="175"/>
      <c r="D139" s="175"/>
      <c r="E139" s="176"/>
      <c r="F139" s="175"/>
      <c r="G139" s="175"/>
      <c r="H139" s="175"/>
      <c r="I139" s="175"/>
      <c r="J139" s="175"/>
      <c r="K139" s="175"/>
      <c r="L139" s="175"/>
      <c r="M139" s="206">
        <f>SUM(M135:M138)</f>
        <v>118500</v>
      </c>
      <c r="N139" s="207"/>
      <c r="O139" s="208">
        <f>SUM(O135:O138)</f>
        <v>118500</v>
      </c>
      <c r="P139" s="209">
        <f t="shared" ref="P139:P162" si="32">O139/M139</f>
        <v>1</v>
      </c>
      <c r="Q139" s="208">
        <f>SUM(Q135:Q138)</f>
        <v>118500</v>
      </c>
      <c r="R139" s="234">
        <f t="shared" ref="R139:R162" si="33">Q139/M139</f>
        <v>1</v>
      </c>
      <c r="S139" s="23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175"/>
      <c r="AT139" s="175"/>
      <c r="AU139" s="175"/>
      <c r="AV139" s="175"/>
      <c r="AW139" s="175"/>
      <c r="AX139" s="175"/>
      <c r="AY139" s="175"/>
      <c r="AZ139" s="175"/>
      <c r="BA139" s="175"/>
      <c r="BB139" s="175"/>
      <c r="BC139" s="175"/>
      <c r="BD139" s="175"/>
      <c r="BE139" s="175"/>
      <c r="BF139" s="175"/>
      <c r="BG139" s="175"/>
      <c r="BH139" s="175"/>
      <c r="BI139" s="175"/>
      <c r="BJ139" s="175"/>
      <c r="BK139" s="175"/>
      <c r="BL139" s="175"/>
      <c r="BM139" s="175"/>
      <c r="BN139" s="175"/>
      <c r="BO139" s="179"/>
    </row>
    <row r="140" spans="1:67">
      <c r="A140" s="174" t="s">
        <v>776</v>
      </c>
      <c r="B140" s="175"/>
      <c r="C140" s="175"/>
      <c r="D140" s="175"/>
      <c r="E140" s="176"/>
      <c r="F140" s="175"/>
      <c r="G140" s="175"/>
      <c r="H140" s="175"/>
      <c r="I140" s="175"/>
      <c r="J140" s="175"/>
      <c r="K140" s="175"/>
      <c r="L140" s="175"/>
      <c r="M140" s="176">
        <f>M134+M139</f>
        <v>17513706.97</v>
      </c>
      <c r="N140" s="207"/>
      <c r="O140" s="208">
        <f>O134+O139</f>
        <v>7742771.16</v>
      </c>
      <c r="P140" s="209">
        <f t="shared" si="32"/>
        <v>0.442097790791118</v>
      </c>
      <c r="Q140" s="208">
        <f>Q134+Q139</f>
        <v>6798752.62</v>
      </c>
      <c r="R140" s="234">
        <f t="shared" si="33"/>
        <v>0.38819609301708</v>
      </c>
      <c r="S140" s="23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  <c r="BE140" s="175"/>
      <c r="BF140" s="175"/>
      <c r="BG140" s="175"/>
      <c r="BH140" s="175"/>
      <c r="BI140" s="175"/>
      <c r="BJ140" s="175"/>
      <c r="BK140" s="175"/>
      <c r="BL140" s="175"/>
      <c r="BM140" s="175"/>
      <c r="BN140" s="175"/>
      <c r="BO140" s="179"/>
    </row>
    <row r="141" s="142" customFormat="1" ht="22.5" spans="1:67">
      <c r="A141" s="184">
        <v>1</v>
      </c>
      <c r="B141" s="173" t="s">
        <v>777</v>
      </c>
      <c r="C141" s="173" t="s">
        <v>778</v>
      </c>
      <c r="D141" s="173" t="s">
        <v>115</v>
      </c>
      <c r="E141" s="165">
        <v>6625</v>
      </c>
      <c r="F141" s="173" t="s">
        <v>779</v>
      </c>
      <c r="G141" s="173" t="s">
        <v>780</v>
      </c>
      <c r="H141" s="173" t="s">
        <v>781</v>
      </c>
      <c r="I141" s="173" t="s">
        <v>782</v>
      </c>
      <c r="J141" s="173" t="s">
        <v>783</v>
      </c>
      <c r="K141" s="173" t="s">
        <v>784</v>
      </c>
      <c r="L141" s="173" t="s">
        <v>368</v>
      </c>
      <c r="M141" s="165">
        <v>26298.6</v>
      </c>
      <c r="N141" s="213" t="s">
        <v>785</v>
      </c>
      <c r="O141" s="193">
        <f t="shared" ref="O141:O153" si="34">S141+U141+W141+Y141+AA141+AC141+AE141+AG141+AI141+AK141+AM141+AO141+AQ141+AS141+AU141+AW141+AY141+BA141+BC141+BE141+BG141+BI141+BK141+BM141</f>
        <v>26298.6</v>
      </c>
      <c r="P141" s="194">
        <f t="shared" si="32"/>
        <v>1</v>
      </c>
      <c r="Q141" s="224">
        <f t="shared" ref="Q141:Q153" si="35">T141+V141+X141+Z141+AB141+AD141+AF141+AH141+AJ141+AL141+AN141+AP141+AR141+AT141+AV141+AX141+AZ141+BB141+BD141+BF141+BH141+BJ141+BL141+BN141</f>
        <v>26298.6</v>
      </c>
      <c r="R141" s="225">
        <f t="shared" si="33"/>
        <v>1</v>
      </c>
      <c r="S141" s="236"/>
      <c r="T141" s="173"/>
      <c r="U141" s="173"/>
      <c r="V141" s="173"/>
      <c r="W141" s="173"/>
      <c r="X141" s="173"/>
      <c r="Y141" s="173"/>
      <c r="Z141" s="173"/>
      <c r="AA141" s="173"/>
      <c r="AB141" s="173"/>
      <c r="AC141" s="173"/>
      <c r="AD141" s="173"/>
      <c r="AE141" s="173"/>
      <c r="AF141" s="173"/>
      <c r="AG141" s="173"/>
      <c r="AH141" s="173"/>
      <c r="AI141" s="173"/>
      <c r="AJ141" s="173"/>
      <c r="AK141" s="173"/>
      <c r="AL141" s="173">
        <v>13149.3</v>
      </c>
      <c r="AM141" s="173"/>
      <c r="AN141" s="173"/>
      <c r="AO141" s="173"/>
      <c r="AP141" s="173"/>
      <c r="AQ141" s="173"/>
      <c r="AR141" s="173"/>
      <c r="AS141" s="173"/>
      <c r="AT141" s="173"/>
      <c r="AU141" s="173"/>
      <c r="AV141" s="173"/>
      <c r="AW141" s="173">
        <v>26298.6</v>
      </c>
      <c r="AX141" s="173"/>
      <c r="AY141" s="173"/>
      <c r="AZ141" s="173"/>
      <c r="BA141" s="173"/>
      <c r="BB141" s="173">
        <v>13149.3</v>
      </c>
      <c r="BC141" s="173"/>
      <c r="BD141" s="173"/>
      <c r="BE141" s="173"/>
      <c r="BF141" s="173"/>
      <c r="BG141" s="173"/>
      <c r="BH141" s="173"/>
      <c r="BI141" s="173"/>
      <c r="BJ141" s="173"/>
      <c r="BK141" s="173"/>
      <c r="BL141" s="173"/>
      <c r="BM141" s="173"/>
      <c r="BN141" s="173"/>
      <c r="BO141" s="173"/>
    </row>
    <row r="142" s="142" customFormat="1" ht="22.5" spans="1:67">
      <c r="A142" s="184" t="s">
        <v>786</v>
      </c>
      <c r="B142" s="173" t="s">
        <v>689</v>
      </c>
      <c r="C142" s="173" t="s">
        <v>778</v>
      </c>
      <c r="D142" s="173" t="s">
        <v>115</v>
      </c>
      <c r="E142" s="165">
        <v>4500</v>
      </c>
      <c r="F142" s="173" t="s">
        <v>705</v>
      </c>
      <c r="G142" s="173" t="s">
        <v>706</v>
      </c>
      <c r="H142" s="173" t="s">
        <v>787</v>
      </c>
      <c r="I142" s="173" t="s">
        <v>128</v>
      </c>
      <c r="J142" s="173" t="s">
        <v>535</v>
      </c>
      <c r="K142" s="173" t="s">
        <v>788</v>
      </c>
      <c r="L142" s="173" t="s">
        <v>368</v>
      </c>
      <c r="M142" s="165">
        <v>26000</v>
      </c>
      <c r="N142" s="213" t="s">
        <v>789</v>
      </c>
      <c r="O142" s="193">
        <f t="shared" si="34"/>
        <v>26000</v>
      </c>
      <c r="P142" s="194">
        <f t="shared" si="32"/>
        <v>1</v>
      </c>
      <c r="Q142" s="224">
        <f t="shared" si="35"/>
        <v>26000</v>
      </c>
      <c r="R142" s="225">
        <f t="shared" si="33"/>
        <v>1</v>
      </c>
      <c r="S142" s="236"/>
      <c r="T142" s="173"/>
      <c r="U142" s="173"/>
      <c r="V142" s="173"/>
      <c r="W142" s="173"/>
      <c r="X142" s="173"/>
      <c r="Y142" s="173"/>
      <c r="Z142" s="173"/>
      <c r="AA142" s="173"/>
      <c r="AB142" s="173"/>
      <c r="AC142" s="173"/>
      <c r="AD142" s="173"/>
      <c r="AE142" s="173"/>
      <c r="AF142" s="173"/>
      <c r="AG142" s="173"/>
      <c r="AH142" s="173"/>
      <c r="AI142" s="173"/>
      <c r="AJ142" s="173"/>
      <c r="AK142" s="173">
        <v>13000</v>
      </c>
      <c r="AL142" s="173"/>
      <c r="AM142" s="173"/>
      <c r="AN142" s="173">
        <v>13000</v>
      </c>
      <c r="AO142" s="173"/>
      <c r="AP142" s="173"/>
      <c r="AQ142" s="173"/>
      <c r="AR142" s="173"/>
      <c r="AS142" s="173"/>
      <c r="AT142" s="173"/>
      <c r="AU142" s="173"/>
      <c r="AV142" s="173"/>
      <c r="AW142" s="173"/>
      <c r="AX142" s="173"/>
      <c r="AY142" s="173"/>
      <c r="AZ142" s="173"/>
      <c r="BA142" s="173"/>
      <c r="BB142" s="173"/>
      <c r="BC142" s="173"/>
      <c r="BD142" s="173"/>
      <c r="BE142" s="173"/>
      <c r="BF142" s="173"/>
      <c r="BG142" s="173"/>
      <c r="BH142" s="173"/>
      <c r="BI142" s="173">
        <v>13000</v>
      </c>
      <c r="BJ142" s="173">
        <v>13000</v>
      </c>
      <c r="BK142" s="173"/>
      <c r="BL142" s="173"/>
      <c r="BM142" s="173"/>
      <c r="BN142" s="173"/>
      <c r="BO142" s="173"/>
    </row>
    <row r="143" s="142" customFormat="1" ht="22.5" spans="1:67">
      <c r="A143" s="184">
        <v>3</v>
      </c>
      <c r="B143" s="173" t="s">
        <v>689</v>
      </c>
      <c r="C143" s="173" t="s">
        <v>790</v>
      </c>
      <c r="D143" s="173" t="s">
        <v>514</v>
      </c>
      <c r="E143" s="165">
        <v>3000</v>
      </c>
      <c r="F143" s="173" t="s">
        <v>232</v>
      </c>
      <c r="G143" s="173" t="s">
        <v>233</v>
      </c>
      <c r="H143" s="173" t="s">
        <v>791</v>
      </c>
      <c r="I143" s="173" t="s">
        <v>792</v>
      </c>
      <c r="J143" s="173" t="s">
        <v>793</v>
      </c>
      <c r="K143" s="173" t="s">
        <v>794</v>
      </c>
      <c r="L143" s="173" t="s">
        <v>368</v>
      </c>
      <c r="M143" s="165">
        <v>12000</v>
      </c>
      <c r="N143" s="213" t="s">
        <v>795</v>
      </c>
      <c r="O143" s="193">
        <f t="shared" si="34"/>
        <v>12000</v>
      </c>
      <c r="P143" s="194">
        <f t="shared" si="32"/>
        <v>1</v>
      </c>
      <c r="Q143" s="224">
        <f t="shared" si="35"/>
        <v>12000</v>
      </c>
      <c r="R143" s="225">
        <f t="shared" si="33"/>
        <v>1</v>
      </c>
      <c r="S143" s="236"/>
      <c r="T143" s="173"/>
      <c r="U143" s="173"/>
      <c r="V143" s="173"/>
      <c r="W143" s="173"/>
      <c r="X143" s="173"/>
      <c r="Y143" s="173"/>
      <c r="Z143" s="173"/>
      <c r="AA143" s="173"/>
      <c r="AB143" s="173"/>
      <c r="AC143" s="173"/>
      <c r="AD143" s="173"/>
      <c r="AE143" s="173"/>
      <c r="AF143" s="173"/>
      <c r="AG143" s="173"/>
      <c r="AH143" s="173"/>
      <c r="AI143" s="173"/>
      <c r="AJ143" s="173"/>
      <c r="AK143" s="173"/>
      <c r="AL143" s="173"/>
      <c r="AM143" s="173">
        <v>6000</v>
      </c>
      <c r="AN143" s="173">
        <v>6000</v>
      </c>
      <c r="AO143" s="173"/>
      <c r="AP143" s="173"/>
      <c r="AQ143" s="173"/>
      <c r="AR143" s="173"/>
      <c r="AS143" s="173"/>
      <c r="AT143" s="173"/>
      <c r="AU143" s="173"/>
      <c r="AV143" s="173"/>
      <c r="AW143" s="173"/>
      <c r="AX143" s="173"/>
      <c r="AY143" s="173"/>
      <c r="AZ143" s="173"/>
      <c r="BA143" s="173"/>
      <c r="BB143" s="173"/>
      <c r="BC143" s="173"/>
      <c r="BD143" s="173"/>
      <c r="BE143" s="173"/>
      <c r="BF143" s="173"/>
      <c r="BG143" s="173"/>
      <c r="BH143" s="173"/>
      <c r="BI143" s="173"/>
      <c r="BJ143" s="173"/>
      <c r="BK143" s="173">
        <v>6000</v>
      </c>
      <c r="BL143" s="173"/>
      <c r="BM143" s="173"/>
      <c r="BN143" s="173">
        <v>6000</v>
      </c>
      <c r="BO143" s="173"/>
    </row>
    <row r="144" s="142" customFormat="1" ht="22.5" spans="1:67">
      <c r="A144" s="184">
        <v>4</v>
      </c>
      <c r="B144" s="173" t="s">
        <v>689</v>
      </c>
      <c r="C144" s="173" t="s">
        <v>790</v>
      </c>
      <c r="D144" s="173" t="s">
        <v>514</v>
      </c>
      <c r="E144" s="165">
        <v>3000</v>
      </c>
      <c r="F144" s="173" t="s">
        <v>232</v>
      </c>
      <c r="G144" s="173" t="s">
        <v>233</v>
      </c>
      <c r="H144" s="173" t="s">
        <v>796</v>
      </c>
      <c r="I144" s="173" t="s">
        <v>797</v>
      </c>
      <c r="J144" s="173" t="s">
        <v>798</v>
      </c>
      <c r="K144" s="173" t="s">
        <v>799</v>
      </c>
      <c r="L144" s="173" t="s">
        <v>368</v>
      </c>
      <c r="M144" s="165">
        <v>11000</v>
      </c>
      <c r="N144" s="213" t="s">
        <v>800</v>
      </c>
      <c r="O144" s="193">
        <f t="shared" si="34"/>
        <v>5500</v>
      </c>
      <c r="P144" s="194">
        <f t="shared" si="32"/>
        <v>0.5</v>
      </c>
      <c r="Q144" s="224">
        <f t="shared" si="35"/>
        <v>11000</v>
      </c>
      <c r="R144" s="225">
        <f t="shared" si="33"/>
        <v>1</v>
      </c>
      <c r="S144" s="236"/>
      <c r="T144" s="173"/>
      <c r="U144" s="173"/>
      <c r="V144" s="173"/>
      <c r="W144" s="173"/>
      <c r="X144" s="173"/>
      <c r="Y144" s="173"/>
      <c r="Z144" s="173"/>
      <c r="AA144" s="173"/>
      <c r="AB144" s="173"/>
      <c r="AC144" s="173"/>
      <c r="AD144" s="173"/>
      <c r="AE144" s="173"/>
      <c r="AF144" s="173"/>
      <c r="AG144" s="173"/>
      <c r="AH144" s="173"/>
      <c r="AI144" s="173"/>
      <c r="AJ144" s="173"/>
      <c r="AK144" s="173"/>
      <c r="AL144" s="173"/>
      <c r="AM144" s="173">
        <v>5500</v>
      </c>
      <c r="AN144" s="173"/>
      <c r="AO144" s="173"/>
      <c r="AP144" s="173"/>
      <c r="AQ144" s="173"/>
      <c r="AR144" s="173">
        <v>5500</v>
      </c>
      <c r="AS144" s="173"/>
      <c r="AT144" s="173"/>
      <c r="AU144" s="173"/>
      <c r="AV144" s="173"/>
      <c r="AW144" s="173"/>
      <c r="AX144" s="173"/>
      <c r="AY144" s="173"/>
      <c r="AZ144" s="173"/>
      <c r="BA144" s="173"/>
      <c r="BB144" s="173"/>
      <c r="BC144" s="173"/>
      <c r="BD144" s="173"/>
      <c r="BE144" s="173"/>
      <c r="BF144" s="173"/>
      <c r="BG144" s="173"/>
      <c r="BH144" s="173"/>
      <c r="BI144" s="173"/>
      <c r="BJ144" s="173"/>
      <c r="BK144" s="173"/>
      <c r="BL144" s="173"/>
      <c r="BM144" s="173"/>
      <c r="BN144" s="173">
        <v>5500</v>
      </c>
      <c r="BO144" s="173">
        <v>5500</v>
      </c>
    </row>
    <row r="145" s="142" customFormat="1" ht="22.5" spans="1:67">
      <c r="A145" s="184">
        <v>5</v>
      </c>
      <c r="B145" s="173" t="s">
        <v>689</v>
      </c>
      <c r="C145" s="173" t="s">
        <v>790</v>
      </c>
      <c r="D145" s="173" t="s">
        <v>514</v>
      </c>
      <c r="E145" s="165">
        <v>7500</v>
      </c>
      <c r="F145" s="173" t="s">
        <v>232</v>
      </c>
      <c r="G145" s="173" t="s">
        <v>233</v>
      </c>
      <c r="H145" s="173" t="s">
        <v>801</v>
      </c>
      <c r="I145" s="173" t="s">
        <v>802</v>
      </c>
      <c r="J145" s="173" t="s">
        <v>793</v>
      </c>
      <c r="K145" s="173" t="s">
        <v>794</v>
      </c>
      <c r="L145" s="173" t="s">
        <v>368</v>
      </c>
      <c r="M145" s="165">
        <v>39000</v>
      </c>
      <c r="N145" s="213" t="s">
        <v>803</v>
      </c>
      <c r="O145" s="193">
        <f t="shared" si="34"/>
        <v>39000</v>
      </c>
      <c r="P145" s="194">
        <f t="shared" si="32"/>
        <v>1</v>
      </c>
      <c r="Q145" s="224">
        <f t="shared" si="35"/>
        <v>39000</v>
      </c>
      <c r="R145" s="225">
        <f t="shared" si="33"/>
        <v>1</v>
      </c>
      <c r="S145" s="236"/>
      <c r="T145" s="173"/>
      <c r="U145" s="173"/>
      <c r="V145" s="173"/>
      <c r="W145" s="173"/>
      <c r="X145" s="173"/>
      <c r="Y145" s="173"/>
      <c r="Z145" s="173"/>
      <c r="AA145" s="173"/>
      <c r="AB145" s="173"/>
      <c r="AC145" s="173"/>
      <c r="AD145" s="173"/>
      <c r="AE145" s="173"/>
      <c r="AF145" s="173"/>
      <c r="AG145" s="173"/>
      <c r="AH145" s="173"/>
      <c r="AI145" s="173"/>
      <c r="AJ145" s="173"/>
      <c r="AK145" s="173"/>
      <c r="AL145" s="173"/>
      <c r="AM145" s="173">
        <v>19500</v>
      </c>
      <c r="AN145" s="173">
        <v>19500</v>
      </c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173"/>
      <c r="BI145" s="173"/>
      <c r="BJ145" s="173"/>
      <c r="BK145" s="173">
        <v>19500</v>
      </c>
      <c r="BL145" s="173"/>
      <c r="BM145" s="173"/>
      <c r="BN145" s="173">
        <v>19500</v>
      </c>
      <c r="BO145" s="173"/>
    </row>
    <row r="146" s="142" customFormat="1" ht="22.5" spans="1:67">
      <c r="A146" s="184" t="s">
        <v>636</v>
      </c>
      <c r="B146" s="173" t="s">
        <v>442</v>
      </c>
      <c r="C146" s="173" t="s">
        <v>804</v>
      </c>
      <c r="D146" s="173"/>
      <c r="E146" s="165"/>
      <c r="F146" s="173" t="s">
        <v>805</v>
      </c>
      <c r="G146" s="173" t="s">
        <v>160</v>
      </c>
      <c r="H146" s="173" t="s">
        <v>806</v>
      </c>
      <c r="I146" s="173" t="s">
        <v>807</v>
      </c>
      <c r="J146" s="173" t="s">
        <v>804</v>
      </c>
      <c r="K146" s="173" t="s">
        <v>808</v>
      </c>
      <c r="L146" s="173" t="s">
        <v>523</v>
      </c>
      <c r="M146" s="165">
        <v>40000</v>
      </c>
      <c r="N146" s="213" t="s">
        <v>809</v>
      </c>
      <c r="O146" s="193">
        <f t="shared" si="34"/>
        <v>40000</v>
      </c>
      <c r="P146" s="194">
        <f t="shared" si="32"/>
        <v>1</v>
      </c>
      <c r="Q146" s="224">
        <v>40000</v>
      </c>
      <c r="R146" s="225">
        <f t="shared" si="33"/>
        <v>1</v>
      </c>
      <c r="S146" s="236"/>
      <c r="T146" s="173" t="s">
        <v>557</v>
      </c>
      <c r="U146" s="173"/>
      <c r="V146" s="173"/>
      <c r="W146" s="173"/>
      <c r="X146" s="173"/>
      <c r="Y146" s="173"/>
      <c r="Z146" s="173"/>
      <c r="AA146" s="173"/>
      <c r="AB146" s="173"/>
      <c r="AC146" s="173"/>
      <c r="AD146" s="173"/>
      <c r="AE146" s="173"/>
      <c r="AF146" s="173"/>
      <c r="AG146" s="173"/>
      <c r="AH146" s="173"/>
      <c r="AI146" s="173"/>
      <c r="AJ146" s="173"/>
      <c r="AK146" s="173">
        <v>24000</v>
      </c>
      <c r="AL146" s="173">
        <v>24000</v>
      </c>
      <c r="AM146" s="173">
        <v>16000</v>
      </c>
      <c r="AN146" s="173">
        <v>16000</v>
      </c>
      <c r="AO146" s="173"/>
      <c r="AP146" s="173"/>
      <c r="AQ146" s="173"/>
      <c r="AR146" s="173"/>
      <c r="AS146" s="173"/>
      <c r="AT146" s="173"/>
      <c r="AU146" s="173"/>
      <c r="AV146" s="173"/>
      <c r="AW146" s="173"/>
      <c r="AX146" s="173"/>
      <c r="AY146" s="173"/>
      <c r="AZ146" s="173"/>
      <c r="BA146" s="173"/>
      <c r="BB146" s="173"/>
      <c r="BC146" s="173"/>
      <c r="BD146" s="173"/>
      <c r="BE146" s="173"/>
      <c r="BF146" s="173"/>
      <c r="BG146" s="173"/>
      <c r="BH146" s="173"/>
      <c r="BI146" s="173"/>
      <c r="BJ146" s="173"/>
      <c r="BK146" s="173"/>
      <c r="BL146" s="173"/>
      <c r="BM146" s="173"/>
      <c r="BN146" s="173"/>
      <c r="BO146" s="173"/>
    </row>
    <row r="147" s="142" customFormat="1" spans="1:67">
      <c r="A147" s="184" t="s">
        <v>810</v>
      </c>
      <c r="B147" s="173" t="s">
        <v>685</v>
      </c>
      <c r="C147" s="173" t="s">
        <v>811</v>
      </c>
      <c r="D147" s="173"/>
      <c r="E147" s="165"/>
      <c r="F147" s="173" t="s">
        <v>812</v>
      </c>
      <c r="G147" s="173" t="s">
        <v>813</v>
      </c>
      <c r="H147" s="173" t="s">
        <v>814</v>
      </c>
      <c r="I147" s="173" t="s">
        <v>815</v>
      </c>
      <c r="J147" s="173" t="s">
        <v>816</v>
      </c>
      <c r="K147" s="173" t="s">
        <v>817</v>
      </c>
      <c r="L147" s="173" t="s">
        <v>368</v>
      </c>
      <c r="M147" s="165">
        <v>4500</v>
      </c>
      <c r="N147" s="213" t="s">
        <v>818</v>
      </c>
      <c r="O147" s="193">
        <f t="shared" si="34"/>
        <v>4500</v>
      </c>
      <c r="P147" s="194">
        <f t="shared" si="32"/>
        <v>1</v>
      </c>
      <c r="Q147" s="224">
        <f t="shared" si="35"/>
        <v>4500</v>
      </c>
      <c r="R147" s="225">
        <f t="shared" si="33"/>
        <v>1</v>
      </c>
      <c r="S147" s="236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73"/>
      <c r="AL147" s="173"/>
      <c r="AM147" s="173"/>
      <c r="AN147" s="173"/>
      <c r="AO147" s="173">
        <v>4500</v>
      </c>
      <c r="AP147" s="173">
        <v>4500</v>
      </c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173"/>
      <c r="BI147" s="173"/>
      <c r="BJ147" s="173"/>
      <c r="BK147" s="173"/>
      <c r="BL147" s="173"/>
      <c r="BM147" s="173"/>
      <c r="BN147" s="173"/>
      <c r="BO147" s="173"/>
    </row>
    <row r="148" s="142" customFormat="1" ht="22.5" spans="1:67">
      <c r="A148" s="184">
        <v>10</v>
      </c>
      <c r="B148" s="173" t="s">
        <v>689</v>
      </c>
      <c r="C148" s="173" t="s">
        <v>811</v>
      </c>
      <c r="D148" s="173" t="s">
        <v>124</v>
      </c>
      <c r="E148" s="165">
        <v>4800</v>
      </c>
      <c r="F148" s="173" t="s">
        <v>812</v>
      </c>
      <c r="G148" s="173" t="s">
        <v>813</v>
      </c>
      <c r="H148" s="173" t="s">
        <v>819</v>
      </c>
      <c r="I148" s="173" t="s">
        <v>820</v>
      </c>
      <c r="J148" s="173" t="s">
        <v>816</v>
      </c>
      <c r="K148" s="173" t="s">
        <v>821</v>
      </c>
      <c r="L148" s="173" t="s">
        <v>368</v>
      </c>
      <c r="M148" s="165">
        <v>26000</v>
      </c>
      <c r="N148" s="213" t="s">
        <v>822</v>
      </c>
      <c r="O148" s="193">
        <f t="shared" si="34"/>
        <v>26000</v>
      </c>
      <c r="P148" s="194">
        <f t="shared" si="32"/>
        <v>1</v>
      </c>
      <c r="Q148" s="224">
        <f t="shared" si="35"/>
        <v>26000</v>
      </c>
      <c r="R148" s="225">
        <f t="shared" si="33"/>
        <v>1</v>
      </c>
      <c r="S148" s="236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173"/>
      <c r="AN148" s="173"/>
      <c r="AO148" s="173">
        <v>13000</v>
      </c>
      <c r="AP148" s="173">
        <v>13000</v>
      </c>
      <c r="AQ148" s="173"/>
      <c r="AR148" s="173"/>
      <c r="AS148" s="173"/>
      <c r="AT148" s="173"/>
      <c r="AU148" s="173"/>
      <c r="AV148" s="173"/>
      <c r="AW148" s="173">
        <v>13000</v>
      </c>
      <c r="AX148" s="173">
        <v>13000</v>
      </c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173"/>
      <c r="BI148" s="173"/>
      <c r="BJ148" s="173"/>
      <c r="BK148" s="173"/>
      <c r="BL148" s="173"/>
      <c r="BM148" s="173"/>
      <c r="BN148" s="173"/>
      <c r="BO148" s="173"/>
    </row>
    <row r="149" s="142" customFormat="1" spans="1:67">
      <c r="A149" s="184" t="s">
        <v>823</v>
      </c>
      <c r="B149" s="173" t="s">
        <v>230</v>
      </c>
      <c r="C149" s="173" t="s">
        <v>824</v>
      </c>
      <c r="D149" s="173" t="s">
        <v>115</v>
      </c>
      <c r="E149" s="165">
        <v>3360</v>
      </c>
      <c r="F149" s="173" t="s">
        <v>543</v>
      </c>
      <c r="G149" s="173" t="s">
        <v>544</v>
      </c>
      <c r="H149" s="173" t="s">
        <v>825</v>
      </c>
      <c r="I149" s="173" t="s">
        <v>826</v>
      </c>
      <c r="J149" s="173" t="s">
        <v>824</v>
      </c>
      <c r="K149" s="173" t="s">
        <v>827</v>
      </c>
      <c r="L149" s="173" t="s">
        <v>368</v>
      </c>
      <c r="M149" s="165">
        <v>12000</v>
      </c>
      <c r="N149" s="205" t="s">
        <v>501</v>
      </c>
      <c r="O149" s="193">
        <f t="shared" si="34"/>
        <v>12000</v>
      </c>
      <c r="P149" s="194">
        <f t="shared" si="32"/>
        <v>1</v>
      </c>
      <c r="Q149" s="224">
        <f t="shared" si="35"/>
        <v>12000</v>
      </c>
      <c r="R149" s="225">
        <f t="shared" si="33"/>
        <v>1</v>
      </c>
      <c r="S149" s="236"/>
      <c r="T149" s="173"/>
      <c r="U149" s="173"/>
      <c r="V149" s="173"/>
      <c r="W149" s="173"/>
      <c r="X149" s="173"/>
      <c r="Y149" s="173"/>
      <c r="Z149" s="173"/>
      <c r="AA149" s="173"/>
      <c r="AB149" s="173"/>
      <c r="AC149" s="173"/>
      <c r="AD149" s="173"/>
      <c r="AE149" s="173"/>
      <c r="AF149" s="173"/>
      <c r="AG149" s="173"/>
      <c r="AH149" s="173"/>
      <c r="AI149" s="173"/>
      <c r="AJ149" s="173"/>
      <c r="AK149" s="173">
        <v>12000</v>
      </c>
      <c r="AL149" s="173">
        <v>12000</v>
      </c>
      <c r="AM149" s="173"/>
      <c r="AN149" s="173"/>
      <c r="AO149" s="173"/>
      <c r="AP149" s="173"/>
      <c r="AQ149" s="173"/>
      <c r="AR149" s="173"/>
      <c r="AS149" s="173"/>
      <c r="AT149" s="173"/>
      <c r="AU149" s="173"/>
      <c r="AV149" s="173"/>
      <c r="AW149" s="173"/>
      <c r="AX149" s="173"/>
      <c r="AY149" s="173"/>
      <c r="AZ149" s="173"/>
      <c r="BA149" s="173"/>
      <c r="BB149" s="173"/>
      <c r="BC149" s="173"/>
      <c r="BD149" s="173"/>
      <c r="BE149" s="173"/>
      <c r="BF149" s="173"/>
      <c r="BG149" s="173"/>
      <c r="BH149" s="173"/>
      <c r="BI149" s="173"/>
      <c r="BJ149" s="173"/>
      <c r="BK149" s="173"/>
      <c r="BL149" s="173"/>
      <c r="BM149" s="173"/>
      <c r="BN149" s="173"/>
      <c r="BO149" s="173"/>
    </row>
    <row r="150" s="142" customFormat="1" spans="1:67">
      <c r="A150" s="184">
        <v>10</v>
      </c>
      <c r="B150" s="173" t="s">
        <v>230</v>
      </c>
      <c r="C150" s="173" t="s">
        <v>811</v>
      </c>
      <c r="D150" s="173"/>
      <c r="E150" s="165"/>
      <c r="F150" s="173" t="s">
        <v>232</v>
      </c>
      <c r="G150" s="173" t="s">
        <v>233</v>
      </c>
      <c r="H150" s="173" t="s">
        <v>828</v>
      </c>
      <c r="I150" s="173" t="s">
        <v>829</v>
      </c>
      <c r="J150" s="173" t="s">
        <v>811</v>
      </c>
      <c r="K150" s="173" t="s">
        <v>335</v>
      </c>
      <c r="L150" s="173" t="s">
        <v>368</v>
      </c>
      <c r="M150" s="165">
        <v>1600</v>
      </c>
      <c r="N150" s="205" t="s">
        <v>396</v>
      </c>
      <c r="O150" s="193">
        <f t="shared" si="34"/>
        <v>1600</v>
      </c>
      <c r="P150" s="194">
        <f t="shared" si="32"/>
        <v>1</v>
      </c>
      <c r="Q150" s="224">
        <f t="shared" si="35"/>
        <v>1600</v>
      </c>
      <c r="R150" s="225">
        <f t="shared" si="33"/>
        <v>1</v>
      </c>
      <c r="S150" s="236"/>
      <c r="T150" s="173"/>
      <c r="U150" s="173"/>
      <c r="V150" s="173"/>
      <c r="W150" s="173"/>
      <c r="X150" s="173"/>
      <c r="Y150" s="173"/>
      <c r="Z150" s="173"/>
      <c r="AA150" s="173"/>
      <c r="AB150" s="173"/>
      <c r="AC150" s="173"/>
      <c r="AD150" s="173"/>
      <c r="AE150" s="173"/>
      <c r="AF150" s="173"/>
      <c r="AG150" s="173"/>
      <c r="AH150" s="173"/>
      <c r="AI150" s="173"/>
      <c r="AJ150" s="173"/>
      <c r="AK150" s="173"/>
      <c r="AL150" s="173"/>
      <c r="AM150" s="173">
        <v>1600</v>
      </c>
      <c r="AN150" s="173"/>
      <c r="AO150" s="173"/>
      <c r="AP150" s="173"/>
      <c r="AQ150" s="173"/>
      <c r="AR150" s="173"/>
      <c r="AS150" s="173"/>
      <c r="AT150" s="173"/>
      <c r="AU150" s="173"/>
      <c r="AV150" s="173"/>
      <c r="AW150" s="173"/>
      <c r="AX150" s="173"/>
      <c r="AY150" s="173"/>
      <c r="AZ150" s="173"/>
      <c r="BA150" s="173"/>
      <c r="BB150" s="173"/>
      <c r="BC150" s="173"/>
      <c r="BD150" s="173">
        <v>1600</v>
      </c>
      <c r="BE150" s="173"/>
      <c r="BF150" s="173"/>
      <c r="BG150" s="173"/>
      <c r="BH150" s="173"/>
      <c r="BI150" s="173"/>
      <c r="BJ150" s="173"/>
      <c r="BK150" s="173"/>
      <c r="BL150" s="173"/>
      <c r="BM150" s="173"/>
      <c r="BN150" s="173"/>
      <c r="BO150" s="173"/>
    </row>
    <row r="151" s="142" customFormat="1" spans="1:67">
      <c r="A151" s="184">
        <v>11</v>
      </c>
      <c r="B151" s="173" t="s">
        <v>557</v>
      </c>
      <c r="C151" s="173" t="s">
        <v>804</v>
      </c>
      <c r="D151" s="173"/>
      <c r="E151" s="165"/>
      <c r="F151" s="173" t="s">
        <v>232</v>
      </c>
      <c r="G151" s="173" t="s">
        <v>233</v>
      </c>
      <c r="H151" s="173" t="s">
        <v>830</v>
      </c>
      <c r="I151" s="173" t="s">
        <v>831</v>
      </c>
      <c r="J151" s="173" t="s">
        <v>804</v>
      </c>
      <c r="K151" s="173" t="s">
        <v>783</v>
      </c>
      <c r="L151" s="173" t="s">
        <v>368</v>
      </c>
      <c r="M151" s="165">
        <v>1969</v>
      </c>
      <c r="N151" s="205" t="s">
        <v>396</v>
      </c>
      <c r="O151" s="193">
        <f t="shared" si="34"/>
        <v>1969</v>
      </c>
      <c r="P151" s="194">
        <f t="shared" si="32"/>
        <v>1</v>
      </c>
      <c r="Q151" s="224">
        <f t="shared" si="35"/>
        <v>1969</v>
      </c>
      <c r="R151" s="225">
        <f t="shared" si="33"/>
        <v>1</v>
      </c>
      <c r="S151" s="236"/>
      <c r="T151" s="173"/>
      <c r="U151" s="173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/>
      <c r="AF151" s="173"/>
      <c r="AG151" s="173"/>
      <c r="AH151" s="173"/>
      <c r="AI151" s="173"/>
      <c r="AJ151" s="173"/>
      <c r="AK151" s="173"/>
      <c r="AL151" s="173"/>
      <c r="AM151" s="173">
        <v>1969</v>
      </c>
      <c r="AN151" s="173"/>
      <c r="AO151" s="173"/>
      <c r="AP151" s="173"/>
      <c r="AQ151" s="173"/>
      <c r="AR151" s="173"/>
      <c r="AS151" s="173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>
        <v>1969</v>
      </c>
      <c r="BE151" s="173"/>
      <c r="BF151" s="173"/>
      <c r="BG151" s="173"/>
      <c r="BH151" s="173"/>
      <c r="BI151" s="173"/>
      <c r="BJ151" s="173"/>
      <c r="BK151" s="173"/>
      <c r="BL151" s="173"/>
      <c r="BM151" s="173"/>
      <c r="BN151" s="173"/>
      <c r="BO151" s="173"/>
    </row>
    <row r="152" s="142" customFormat="1" spans="1:67">
      <c r="A152" s="184">
        <v>12</v>
      </c>
      <c r="B152" s="173" t="s">
        <v>230</v>
      </c>
      <c r="C152" s="173" t="s">
        <v>811</v>
      </c>
      <c r="D152" s="173"/>
      <c r="E152" s="165"/>
      <c r="F152" s="173" t="s">
        <v>832</v>
      </c>
      <c r="G152" s="173" t="s">
        <v>833</v>
      </c>
      <c r="H152" s="173" t="s">
        <v>834</v>
      </c>
      <c r="I152" s="173" t="s">
        <v>829</v>
      </c>
      <c r="J152" s="173" t="s">
        <v>811</v>
      </c>
      <c r="K152" s="173" t="s">
        <v>335</v>
      </c>
      <c r="L152" s="173" t="s">
        <v>368</v>
      </c>
      <c r="M152" s="165">
        <v>360</v>
      </c>
      <c r="N152" s="205" t="s">
        <v>486</v>
      </c>
      <c r="O152" s="193">
        <f t="shared" si="34"/>
        <v>360</v>
      </c>
      <c r="P152" s="194">
        <f t="shared" si="32"/>
        <v>1</v>
      </c>
      <c r="Q152" s="224">
        <f t="shared" si="35"/>
        <v>360</v>
      </c>
      <c r="R152" s="225">
        <f t="shared" si="33"/>
        <v>1</v>
      </c>
      <c r="S152" s="236"/>
      <c r="T152" s="173"/>
      <c r="U152" s="173"/>
      <c r="V152" s="173"/>
      <c r="W152" s="173"/>
      <c r="X152" s="173"/>
      <c r="Y152" s="173"/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173"/>
      <c r="AJ152" s="173"/>
      <c r="AK152" s="173"/>
      <c r="AL152" s="173"/>
      <c r="AM152" s="173">
        <v>360</v>
      </c>
      <c r="AN152" s="173">
        <v>360</v>
      </c>
      <c r="AO152" s="173"/>
      <c r="AP152" s="173"/>
      <c r="AQ152" s="173"/>
      <c r="AR152" s="173"/>
      <c r="AS152" s="173"/>
      <c r="AT152" s="173"/>
      <c r="AU152" s="173"/>
      <c r="AV152" s="173"/>
      <c r="AW152" s="173"/>
      <c r="AX152" s="173"/>
      <c r="AY152" s="173"/>
      <c r="AZ152" s="173"/>
      <c r="BA152" s="173"/>
      <c r="BB152" s="173"/>
      <c r="BC152" s="173"/>
      <c r="BD152" s="173"/>
      <c r="BE152" s="173"/>
      <c r="BF152" s="173"/>
      <c r="BG152" s="173"/>
      <c r="BH152" s="173"/>
      <c r="BI152" s="173"/>
      <c r="BJ152" s="173"/>
      <c r="BK152" s="173"/>
      <c r="BL152" s="173"/>
      <c r="BM152" s="173"/>
      <c r="BN152" s="173"/>
      <c r="BO152" s="173"/>
    </row>
    <row r="153" spans="1:67">
      <c r="A153" s="174" t="s">
        <v>51</v>
      </c>
      <c r="B153" s="175"/>
      <c r="C153" s="175"/>
      <c r="D153" s="175"/>
      <c r="E153" s="176"/>
      <c r="F153" s="175"/>
      <c r="G153" s="175"/>
      <c r="H153" s="175"/>
      <c r="I153" s="175"/>
      <c r="J153" s="175"/>
      <c r="K153" s="175"/>
      <c r="L153" s="175"/>
      <c r="M153" s="206">
        <f>SUM(M141:M152)</f>
        <v>200727.6</v>
      </c>
      <c r="N153" s="207"/>
      <c r="O153" s="208">
        <f>SUM(O141:O152)</f>
        <v>195227.6</v>
      </c>
      <c r="P153" s="209">
        <f t="shared" si="32"/>
        <v>0.97259968235559</v>
      </c>
      <c r="Q153" s="208">
        <f>SUM(Q141:Q152)</f>
        <v>200727.6</v>
      </c>
      <c r="R153" s="234">
        <f t="shared" si="33"/>
        <v>1</v>
      </c>
      <c r="S153" s="23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5"/>
      <c r="AR153" s="175"/>
      <c r="AS153" s="175"/>
      <c r="AT153" s="175"/>
      <c r="AU153" s="175"/>
      <c r="AV153" s="175"/>
      <c r="AW153" s="175"/>
      <c r="AX153" s="175"/>
      <c r="AY153" s="175"/>
      <c r="AZ153" s="175"/>
      <c r="BA153" s="175"/>
      <c r="BB153" s="175"/>
      <c r="BC153" s="175"/>
      <c r="BD153" s="175"/>
      <c r="BE153" s="175"/>
      <c r="BF153" s="175"/>
      <c r="BG153" s="175"/>
      <c r="BH153" s="175"/>
      <c r="BI153" s="175"/>
      <c r="BJ153" s="175"/>
      <c r="BK153" s="175"/>
      <c r="BL153" s="175"/>
      <c r="BM153" s="175"/>
      <c r="BN153" s="175"/>
      <c r="BO153" s="179"/>
    </row>
    <row r="154" spans="1:67">
      <c r="A154" s="174" t="s">
        <v>835</v>
      </c>
      <c r="B154" s="175"/>
      <c r="C154" s="175"/>
      <c r="D154" s="175"/>
      <c r="E154" s="176"/>
      <c r="F154" s="175"/>
      <c r="G154" s="175"/>
      <c r="H154" s="175"/>
      <c r="I154" s="175"/>
      <c r="J154" s="175"/>
      <c r="K154" s="175"/>
      <c r="L154" s="175"/>
      <c r="M154" s="176">
        <f>M140+M153</f>
        <v>17714434.57</v>
      </c>
      <c r="N154" s="207"/>
      <c r="O154" s="208">
        <f>O140+O153</f>
        <v>7937998.76</v>
      </c>
      <c r="P154" s="209">
        <f t="shared" si="32"/>
        <v>0.448109067700262</v>
      </c>
      <c r="Q154" s="208">
        <f>Q140+Q153</f>
        <v>6999480.22</v>
      </c>
      <c r="R154" s="234">
        <f t="shared" si="33"/>
        <v>0.395128627580011</v>
      </c>
      <c r="S154" s="23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  <c r="AO154" s="175"/>
      <c r="AP154" s="175"/>
      <c r="AQ154" s="175"/>
      <c r="AR154" s="175"/>
      <c r="AS154" s="175"/>
      <c r="AT154" s="175"/>
      <c r="AU154" s="175"/>
      <c r="AV154" s="175"/>
      <c r="AW154" s="175"/>
      <c r="AX154" s="175"/>
      <c r="AY154" s="175"/>
      <c r="AZ154" s="175"/>
      <c r="BA154" s="175"/>
      <c r="BB154" s="175"/>
      <c r="BC154" s="175"/>
      <c r="BD154" s="175"/>
      <c r="BE154" s="175"/>
      <c r="BF154" s="175"/>
      <c r="BG154" s="175"/>
      <c r="BH154" s="175"/>
      <c r="BI154" s="175"/>
      <c r="BJ154" s="175"/>
      <c r="BK154" s="175"/>
      <c r="BL154" s="175"/>
      <c r="BM154" s="175"/>
      <c r="BN154" s="175"/>
      <c r="BO154" s="179"/>
    </row>
    <row r="155" s="142" customFormat="1" ht="22.5" spans="1:67">
      <c r="A155" s="184">
        <v>1</v>
      </c>
      <c r="B155" s="173" t="s">
        <v>689</v>
      </c>
      <c r="C155" s="173" t="s">
        <v>836</v>
      </c>
      <c r="D155" s="173" t="s">
        <v>115</v>
      </c>
      <c r="E155" s="165">
        <v>6000</v>
      </c>
      <c r="F155" s="173" t="s">
        <v>837</v>
      </c>
      <c r="G155" s="173" t="s">
        <v>838</v>
      </c>
      <c r="H155" s="173" t="s">
        <v>839</v>
      </c>
      <c r="I155" s="173" t="s">
        <v>258</v>
      </c>
      <c r="J155" s="173" t="s">
        <v>840</v>
      </c>
      <c r="K155" s="173" t="s">
        <v>841</v>
      </c>
      <c r="L155" s="173" t="s">
        <v>368</v>
      </c>
      <c r="M155" s="165">
        <v>30000</v>
      </c>
      <c r="N155" s="213" t="s">
        <v>842</v>
      </c>
      <c r="O155" s="193">
        <f>S155+U155+W155+Y155+AA155+AC155+AE155+AG155+AI155+AK155+AM155+AO155+AQ155+AS155+AU155+AW155+AY155+BA155+BC155+BE155+BG155+BI155+BK155+BM155</f>
        <v>30000</v>
      </c>
      <c r="P155" s="194">
        <f t="shared" si="32"/>
        <v>1</v>
      </c>
      <c r="Q155" s="224">
        <f>T155+V155+X155+Z155+AB155+AD155+AF155+AH155+AJ155+AL155+AN155+AP155+AR155+AT155+AV155+AX155+AZ155+BB155+BD155+BF155+BH155+BJ155+BL155+BN155</f>
        <v>30000</v>
      </c>
      <c r="R155" s="225">
        <f t="shared" si="33"/>
        <v>1</v>
      </c>
      <c r="S155" s="236"/>
      <c r="T155" s="173"/>
      <c r="U155" s="173"/>
      <c r="V155" s="173"/>
      <c r="W155" s="173"/>
      <c r="X155" s="173"/>
      <c r="Y155" s="173"/>
      <c r="Z155" s="173"/>
      <c r="AA155" s="173"/>
      <c r="AB155" s="173"/>
      <c r="AC155" s="173"/>
      <c r="AD155" s="173"/>
      <c r="AE155" s="173"/>
      <c r="AF155" s="173"/>
      <c r="AG155" s="173"/>
      <c r="AH155" s="173"/>
      <c r="AI155" s="173"/>
      <c r="AJ155" s="173"/>
      <c r="AK155" s="173"/>
      <c r="AL155" s="173"/>
      <c r="AM155" s="173">
        <v>15000</v>
      </c>
      <c r="AN155" s="173"/>
      <c r="AO155" s="173"/>
      <c r="AP155" s="173">
        <v>15000</v>
      </c>
      <c r="AQ155" s="173"/>
      <c r="AR155" s="173"/>
      <c r="AS155" s="173"/>
      <c r="AT155" s="173"/>
      <c r="AU155" s="173"/>
      <c r="AV155" s="173"/>
      <c r="AW155" s="173"/>
      <c r="AX155" s="173"/>
      <c r="AY155" s="173"/>
      <c r="AZ155" s="173"/>
      <c r="BA155" s="173"/>
      <c r="BB155" s="173"/>
      <c r="BC155" s="173"/>
      <c r="BD155" s="173"/>
      <c r="BE155" s="173"/>
      <c r="BF155" s="173"/>
      <c r="BG155" s="173">
        <v>15000</v>
      </c>
      <c r="BH155" s="173">
        <v>15000</v>
      </c>
      <c r="BI155" s="173"/>
      <c r="BJ155" s="173"/>
      <c r="BK155" s="173"/>
      <c r="BL155" s="173"/>
      <c r="BM155" s="173"/>
      <c r="BN155" s="173"/>
      <c r="BO155" s="173"/>
    </row>
    <row r="156" s="142" customFormat="1" ht="22.5" spans="1:67">
      <c r="A156" s="184">
        <v>2</v>
      </c>
      <c r="B156" s="173" t="s">
        <v>689</v>
      </c>
      <c r="C156" s="173" t="s">
        <v>843</v>
      </c>
      <c r="D156" s="173" t="s">
        <v>124</v>
      </c>
      <c r="E156" s="165">
        <v>6000</v>
      </c>
      <c r="F156" s="173" t="s">
        <v>385</v>
      </c>
      <c r="G156" s="173" t="s">
        <v>386</v>
      </c>
      <c r="H156" s="173" t="s">
        <v>844</v>
      </c>
      <c r="I156" s="173" t="s">
        <v>258</v>
      </c>
      <c r="J156" s="173" t="s">
        <v>783</v>
      </c>
      <c r="K156" s="173" t="s">
        <v>845</v>
      </c>
      <c r="L156" s="173" t="s">
        <v>368</v>
      </c>
      <c r="M156" s="165">
        <v>30000</v>
      </c>
      <c r="N156" s="213" t="s">
        <v>846</v>
      </c>
      <c r="O156" s="193">
        <f>S156+U156+W156+Y156+AA156+AC156+AE156+AG156+AI156+AK156+AM156+AO156+AQ156+AS156+AU156+AW156+AY156+BA156+BC156+BE156+BG156+BI156+BK156+BM156</f>
        <v>30000</v>
      </c>
      <c r="P156" s="194">
        <f t="shared" si="32"/>
        <v>1</v>
      </c>
      <c r="Q156" s="224">
        <f>T156+V156+X156+Z156+AB156+AD156+AF156+AH156+AJ156+AL156+AN156+AP156+AR156+AT156+AV156+AX156+AZ156+BB156+BD156+BF156+BH156+BJ156+BL156+BN156</f>
        <v>30000</v>
      </c>
      <c r="R156" s="225">
        <f t="shared" si="33"/>
        <v>1</v>
      </c>
      <c r="S156" s="236"/>
      <c r="T156" s="173"/>
      <c r="U156" s="173"/>
      <c r="V156" s="173"/>
      <c r="W156" s="173"/>
      <c r="X156" s="173"/>
      <c r="Y156" s="173"/>
      <c r="Z156" s="173"/>
      <c r="AA156" s="173"/>
      <c r="AB156" s="173"/>
      <c r="AC156" s="173"/>
      <c r="AD156" s="173"/>
      <c r="AE156" s="173"/>
      <c r="AF156" s="173"/>
      <c r="AG156" s="173"/>
      <c r="AH156" s="173"/>
      <c r="AI156" s="173"/>
      <c r="AJ156" s="173"/>
      <c r="AK156" s="173">
        <v>15000</v>
      </c>
      <c r="AL156" s="173"/>
      <c r="AM156" s="173"/>
      <c r="AN156" s="173">
        <v>15000</v>
      </c>
      <c r="AO156" s="173"/>
      <c r="AP156" s="173"/>
      <c r="AQ156" s="173"/>
      <c r="AR156" s="173"/>
      <c r="AS156" s="173"/>
      <c r="AT156" s="173"/>
      <c r="AU156" s="173"/>
      <c r="AV156" s="173"/>
      <c r="AW156" s="173"/>
      <c r="AX156" s="173"/>
      <c r="AY156" s="173"/>
      <c r="AZ156" s="173"/>
      <c r="BA156" s="173"/>
      <c r="BB156" s="173"/>
      <c r="BC156" s="173"/>
      <c r="BD156" s="173"/>
      <c r="BE156" s="173"/>
      <c r="BF156" s="173"/>
      <c r="BG156" s="173"/>
      <c r="BH156" s="173"/>
      <c r="BI156" s="173"/>
      <c r="BJ156" s="173"/>
      <c r="BK156" s="173"/>
      <c r="BL156" s="173"/>
      <c r="BM156" s="173">
        <v>15000</v>
      </c>
      <c r="BN156" s="173">
        <v>15000</v>
      </c>
      <c r="BO156" s="173"/>
    </row>
    <row r="157" s="142" customFormat="1" ht="22.5" spans="1:67">
      <c r="A157" s="184">
        <v>3</v>
      </c>
      <c r="B157" s="173" t="s">
        <v>847</v>
      </c>
      <c r="C157" s="173" t="s">
        <v>848</v>
      </c>
      <c r="D157" s="173" t="s">
        <v>514</v>
      </c>
      <c r="E157" s="165"/>
      <c r="F157" s="173" t="s">
        <v>463</v>
      </c>
      <c r="G157" s="173" t="s">
        <v>849</v>
      </c>
      <c r="H157" s="173" t="s">
        <v>850</v>
      </c>
      <c r="I157" s="173" t="s">
        <v>851</v>
      </c>
      <c r="J157" s="173" t="s">
        <v>852</v>
      </c>
      <c r="K157" s="173" t="s">
        <v>853</v>
      </c>
      <c r="L157" s="173" t="s">
        <v>343</v>
      </c>
      <c r="M157" s="165">
        <v>23580</v>
      </c>
      <c r="N157" s="213" t="s">
        <v>854</v>
      </c>
      <c r="O157" s="193">
        <f>S157+U157+W157+Y157+AA157+AC157+AE157+AG157+AI157+AK157+AM157+AO157+AQ157+AS157+AU157+AW157+AY157+BA157+BC157+BE157+BG157+BI157+BK157+BM157</f>
        <v>23580</v>
      </c>
      <c r="P157" s="194">
        <f t="shared" si="32"/>
        <v>1</v>
      </c>
      <c r="Q157" s="224">
        <f>T157+V157+X157+Z157+AB157+AD157+AF157+AH157+AJ157+AL157+AN157+AP157+AR157+AT157+AV157+AX157+AZ157+BB157+BD157+BF157+BH157+BJ157+BL157+BN157</f>
        <v>23580</v>
      </c>
      <c r="R157" s="225">
        <f t="shared" si="33"/>
        <v>1</v>
      </c>
      <c r="S157" s="236"/>
      <c r="T157" s="173"/>
      <c r="U157" s="173"/>
      <c r="V157" s="173"/>
      <c r="W157" s="173"/>
      <c r="X157" s="173"/>
      <c r="Y157" s="173"/>
      <c r="Z157" s="173"/>
      <c r="AA157" s="173"/>
      <c r="AB157" s="173"/>
      <c r="AC157" s="173"/>
      <c r="AD157" s="173"/>
      <c r="AE157" s="173"/>
      <c r="AF157" s="173"/>
      <c r="AG157" s="173"/>
      <c r="AH157" s="173"/>
      <c r="AI157" s="173"/>
      <c r="AJ157" s="173"/>
      <c r="AK157" s="173"/>
      <c r="AL157" s="173"/>
      <c r="AM157" s="173">
        <v>22401</v>
      </c>
      <c r="AN157" s="173">
        <v>22401</v>
      </c>
      <c r="AO157" s="173">
        <v>1179</v>
      </c>
      <c r="AP157" s="173">
        <v>1179</v>
      </c>
      <c r="AQ157" s="173"/>
      <c r="AR157" s="173"/>
      <c r="AS157" s="173"/>
      <c r="AT157" s="173"/>
      <c r="AU157" s="173"/>
      <c r="AV157" s="173"/>
      <c r="AW157" s="173"/>
      <c r="AX157" s="173"/>
      <c r="AY157" s="173"/>
      <c r="AZ157" s="173"/>
      <c r="BA157" s="173"/>
      <c r="BB157" s="173"/>
      <c r="BC157" s="173"/>
      <c r="BD157" s="173"/>
      <c r="BE157" s="173"/>
      <c r="BF157" s="173"/>
      <c r="BG157" s="173"/>
      <c r="BH157" s="173"/>
      <c r="BI157" s="173"/>
      <c r="BJ157" s="173"/>
      <c r="BK157" s="173"/>
      <c r="BL157" s="173"/>
      <c r="BM157" s="173"/>
      <c r="BN157" s="173"/>
      <c r="BO157" s="173"/>
    </row>
    <row r="158" s="142" customFormat="1" ht="22.5" spans="1:67">
      <c r="A158" s="184">
        <v>4</v>
      </c>
      <c r="B158" s="173" t="s">
        <v>689</v>
      </c>
      <c r="C158" s="173" t="s">
        <v>855</v>
      </c>
      <c r="D158" s="173" t="s">
        <v>124</v>
      </c>
      <c r="E158" s="165">
        <v>8500</v>
      </c>
      <c r="F158" s="173" t="s">
        <v>680</v>
      </c>
      <c r="G158" s="173" t="s">
        <v>681</v>
      </c>
      <c r="H158" s="173" t="s">
        <v>856</v>
      </c>
      <c r="I158" s="173" t="s">
        <v>258</v>
      </c>
      <c r="J158" s="173" t="s">
        <v>783</v>
      </c>
      <c r="K158" s="173" t="s">
        <v>845</v>
      </c>
      <c r="L158" s="173" t="s">
        <v>368</v>
      </c>
      <c r="M158" s="165">
        <v>18200</v>
      </c>
      <c r="N158" s="213" t="s">
        <v>857</v>
      </c>
      <c r="O158" s="193">
        <f>S158+U158+W158+Y158+AA158+AC158+AE158+AG158+AI158+AK158+AM158+AO158+AQ158+AS158+AU158+AW158+AY158+BA158+BC158+BE158+BG158+BI158+BK158+BM158</f>
        <v>18200</v>
      </c>
      <c r="P158" s="194">
        <f t="shared" si="32"/>
        <v>1</v>
      </c>
      <c r="Q158" s="224">
        <f>T158+V158+X158+Z158+AB158+AD158+AF158+AH158+AJ158+AL158+AN158+AP158+AR158+AT158+AV158+AX158+AZ158+BB158+BD158+BF158+BH158+BJ158+BL158+BN158</f>
        <v>18200</v>
      </c>
      <c r="R158" s="225">
        <f t="shared" si="33"/>
        <v>1</v>
      </c>
      <c r="S158" s="236"/>
      <c r="T158" s="173"/>
      <c r="U158" s="173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3"/>
      <c r="AK158" s="173"/>
      <c r="AL158" s="173"/>
      <c r="AM158" s="173">
        <v>9100</v>
      </c>
      <c r="AN158" s="173">
        <v>9100</v>
      </c>
      <c r="AO158" s="173"/>
      <c r="AP158" s="173"/>
      <c r="AQ158" s="173"/>
      <c r="AR158" s="173"/>
      <c r="AS158" s="173"/>
      <c r="AT158" s="173"/>
      <c r="AU158" s="173"/>
      <c r="AV158" s="173"/>
      <c r="AW158" s="173"/>
      <c r="AX158" s="173"/>
      <c r="AY158" s="173"/>
      <c r="AZ158" s="173"/>
      <c r="BA158" s="173"/>
      <c r="BB158" s="173"/>
      <c r="BC158" s="173"/>
      <c r="BD158" s="173"/>
      <c r="BE158" s="173"/>
      <c r="BF158" s="173"/>
      <c r="BG158" s="173"/>
      <c r="BH158" s="173"/>
      <c r="BI158" s="173"/>
      <c r="BJ158" s="173"/>
      <c r="BK158" s="173">
        <v>9100</v>
      </c>
      <c r="BL158" s="173">
        <v>9100</v>
      </c>
      <c r="BM158" s="173"/>
      <c r="BN158" s="173"/>
      <c r="BO158" s="173"/>
    </row>
    <row r="159" s="142" customFormat="1" ht="22.5" spans="1:67">
      <c r="A159" s="184">
        <v>6</v>
      </c>
      <c r="B159" s="173" t="s">
        <v>689</v>
      </c>
      <c r="C159" s="173" t="s">
        <v>858</v>
      </c>
      <c r="D159" s="173" t="s">
        <v>124</v>
      </c>
      <c r="E159" s="165">
        <v>5100</v>
      </c>
      <c r="F159" s="173" t="s">
        <v>859</v>
      </c>
      <c r="G159" s="173" t="s">
        <v>860</v>
      </c>
      <c r="H159" s="173" t="s">
        <v>861</v>
      </c>
      <c r="I159" s="173" t="s">
        <v>862</v>
      </c>
      <c r="J159" s="173" t="s">
        <v>816</v>
      </c>
      <c r="K159" s="173" t="s">
        <v>863</v>
      </c>
      <c r="L159" s="173" t="s">
        <v>368</v>
      </c>
      <c r="M159" s="165">
        <v>21200</v>
      </c>
      <c r="N159" s="213" t="s">
        <v>864</v>
      </c>
      <c r="O159" s="193">
        <f t="shared" ref="O159:O170" si="36">S159+U159+W159+Y159+AA159+AC159+AE159+AG159+AI159+AK159+AM159+AO159+AQ159+AS159+AU159+AW159+AY159+BA159+BC159+BE159+BG159+BI159+BK159+BM159</f>
        <v>21200</v>
      </c>
      <c r="P159" s="194">
        <f t="shared" ref="P159:P172" si="37">O159/M159</f>
        <v>1</v>
      </c>
      <c r="Q159" s="224">
        <f t="shared" ref="Q159:Q170" si="38">T159+V159+X159+Z159+AB159+AD159+AF159+AH159+AJ159+AL159+AN159+AP159+AR159+AT159+AV159+AX159+AZ159+BB159+BD159+BF159+BH159+BJ159+BL159+BN159</f>
        <v>21200</v>
      </c>
      <c r="R159" s="225">
        <f t="shared" ref="R159:R172" si="39">Q159/M159</f>
        <v>1</v>
      </c>
      <c r="S159" s="236"/>
      <c r="T159" s="173"/>
      <c r="U159" s="173"/>
      <c r="V159" s="173"/>
      <c r="W159" s="173"/>
      <c r="X159" s="173"/>
      <c r="Y159" s="173"/>
      <c r="Z159" s="173"/>
      <c r="AA159" s="173"/>
      <c r="AB159" s="173"/>
      <c r="AC159" s="173"/>
      <c r="AD159" s="173"/>
      <c r="AE159" s="173"/>
      <c r="AF159" s="173"/>
      <c r="AG159" s="173"/>
      <c r="AH159" s="173"/>
      <c r="AI159" s="173"/>
      <c r="AJ159" s="173"/>
      <c r="AK159" s="173"/>
      <c r="AL159" s="173"/>
      <c r="AM159" s="173">
        <v>14840</v>
      </c>
      <c r="AN159" s="173">
        <v>14840</v>
      </c>
      <c r="AO159" s="173"/>
      <c r="AP159" s="173"/>
      <c r="AQ159" s="173"/>
      <c r="AR159" s="173"/>
      <c r="AS159" s="173"/>
      <c r="AT159" s="173"/>
      <c r="AU159" s="173"/>
      <c r="AV159" s="173"/>
      <c r="AW159" s="173"/>
      <c r="AX159" s="173"/>
      <c r="AY159" s="173"/>
      <c r="AZ159" s="173"/>
      <c r="BA159" s="173"/>
      <c r="BB159" s="173"/>
      <c r="BC159" s="173"/>
      <c r="BD159" s="173"/>
      <c r="BE159" s="173"/>
      <c r="BF159" s="173"/>
      <c r="BG159" s="173"/>
      <c r="BH159" s="173"/>
      <c r="BI159" s="173"/>
      <c r="BJ159" s="173"/>
      <c r="BK159" s="173">
        <v>6360</v>
      </c>
      <c r="BL159" s="173">
        <v>6360</v>
      </c>
      <c r="BM159" s="173"/>
      <c r="BN159" s="173"/>
      <c r="BO159" s="173"/>
    </row>
    <row r="160" s="142" customFormat="1" ht="22.5" spans="1:67">
      <c r="A160" s="184">
        <v>7</v>
      </c>
      <c r="B160" s="173" t="s">
        <v>689</v>
      </c>
      <c r="C160" s="173" t="s">
        <v>865</v>
      </c>
      <c r="D160" s="173" t="s">
        <v>115</v>
      </c>
      <c r="E160" s="165">
        <v>7500</v>
      </c>
      <c r="F160" s="173" t="s">
        <v>866</v>
      </c>
      <c r="G160" s="173" t="s">
        <v>867</v>
      </c>
      <c r="H160" s="173" t="s">
        <v>868</v>
      </c>
      <c r="I160" s="173" t="s">
        <v>869</v>
      </c>
      <c r="J160" s="173" t="s">
        <v>870</v>
      </c>
      <c r="K160" s="173" t="s">
        <v>871</v>
      </c>
      <c r="L160" s="173" t="s">
        <v>368</v>
      </c>
      <c r="M160" s="165">
        <v>50000</v>
      </c>
      <c r="N160" s="213" t="s">
        <v>872</v>
      </c>
      <c r="O160" s="193">
        <f t="shared" si="36"/>
        <v>50000</v>
      </c>
      <c r="P160" s="194">
        <f t="shared" si="37"/>
        <v>1</v>
      </c>
      <c r="Q160" s="224">
        <f t="shared" si="38"/>
        <v>50000</v>
      </c>
      <c r="R160" s="225">
        <f t="shared" si="39"/>
        <v>1</v>
      </c>
      <c r="S160" s="236"/>
      <c r="T160" s="173"/>
      <c r="U160" s="173"/>
      <c r="V160" s="173"/>
      <c r="W160" s="173"/>
      <c r="X160" s="173"/>
      <c r="Y160" s="173"/>
      <c r="Z160" s="173"/>
      <c r="AA160" s="173"/>
      <c r="AB160" s="173"/>
      <c r="AC160" s="173"/>
      <c r="AD160" s="173"/>
      <c r="AE160" s="173"/>
      <c r="AF160" s="173"/>
      <c r="AG160" s="173"/>
      <c r="AH160" s="173"/>
      <c r="AI160" s="173"/>
      <c r="AJ160" s="173"/>
      <c r="AK160" s="173"/>
      <c r="AL160" s="173"/>
      <c r="AM160" s="173">
        <v>50000</v>
      </c>
      <c r="AN160" s="173">
        <v>20000</v>
      </c>
      <c r="AO160" s="173"/>
      <c r="AP160" s="173"/>
      <c r="AQ160" s="173"/>
      <c r="AR160" s="173"/>
      <c r="AS160" s="173"/>
      <c r="AT160" s="173"/>
      <c r="AU160" s="173"/>
      <c r="AV160" s="173"/>
      <c r="AW160" s="173"/>
      <c r="AX160" s="173"/>
      <c r="AY160" s="173"/>
      <c r="AZ160" s="173"/>
      <c r="BA160" s="173"/>
      <c r="BB160" s="173"/>
      <c r="BC160" s="173"/>
      <c r="BD160" s="173"/>
      <c r="BE160" s="173"/>
      <c r="BF160" s="173"/>
      <c r="BG160" s="173"/>
      <c r="BH160" s="173"/>
      <c r="BI160" s="173"/>
      <c r="BJ160" s="173"/>
      <c r="BK160" s="173"/>
      <c r="BL160" s="173">
        <v>30000</v>
      </c>
      <c r="BM160" s="173"/>
      <c r="BN160" s="173"/>
      <c r="BO160" s="173"/>
    </row>
    <row r="161" ht="22.5" spans="1:67">
      <c r="A161" s="243">
        <v>8</v>
      </c>
      <c r="B161" s="179" t="s">
        <v>685</v>
      </c>
      <c r="C161" s="179" t="s">
        <v>873</v>
      </c>
      <c r="D161" s="179" t="s">
        <v>115</v>
      </c>
      <c r="E161" s="180">
        <v>8980</v>
      </c>
      <c r="F161" s="179" t="s">
        <v>874</v>
      </c>
      <c r="G161" s="179" t="s">
        <v>875</v>
      </c>
      <c r="H161" s="179" t="s">
        <v>876</v>
      </c>
      <c r="I161" s="179" t="s">
        <v>387</v>
      </c>
      <c r="J161" s="179" t="s">
        <v>873</v>
      </c>
      <c r="K161" s="179" t="s">
        <v>877</v>
      </c>
      <c r="L161" s="179" t="s">
        <v>368</v>
      </c>
      <c r="M161" s="180">
        <v>28000</v>
      </c>
      <c r="N161" s="216" t="s">
        <v>878</v>
      </c>
      <c r="O161" s="211">
        <f t="shared" si="36"/>
        <v>14000</v>
      </c>
      <c r="P161" s="212">
        <f t="shared" si="37"/>
        <v>0.5</v>
      </c>
      <c r="Q161" s="237">
        <f t="shared" si="38"/>
        <v>14000</v>
      </c>
      <c r="R161" s="238">
        <f t="shared" si="39"/>
        <v>0.5</v>
      </c>
      <c r="S161" s="239"/>
      <c r="T161" s="179"/>
      <c r="U161" s="179"/>
      <c r="V161" s="179"/>
      <c r="W161" s="179"/>
      <c r="X161" s="179"/>
      <c r="Y161" s="179"/>
      <c r="Z161" s="179"/>
      <c r="AA161" s="179"/>
      <c r="AB161" s="179"/>
      <c r="AC161" s="179"/>
      <c r="AD161" s="179"/>
      <c r="AE161" s="179"/>
      <c r="AF161" s="179"/>
      <c r="AG161" s="179"/>
      <c r="AH161" s="179"/>
      <c r="AI161" s="179"/>
      <c r="AJ161" s="179"/>
      <c r="AK161" s="179"/>
      <c r="AL161" s="179"/>
      <c r="AM161" s="179">
        <v>14000</v>
      </c>
      <c r="AN161" s="179">
        <v>14000</v>
      </c>
      <c r="AO161" s="179"/>
      <c r="AP161" s="179"/>
      <c r="AQ161" s="179"/>
      <c r="AR161" s="179"/>
      <c r="AS161" s="179"/>
      <c r="AT161" s="179"/>
      <c r="AU161" s="179"/>
      <c r="AV161" s="179"/>
      <c r="AW161" s="179"/>
      <c r="AX161" s="179"/>
      <c r="AY161" s="179"/>
      <c r="AZ161" s="179"/>
      <c r="BA161" s="179"/>
      <c r="BB161" s="179"/>
      <c r="BC161" s="179"/>
      <c r="BD161" s="179"/>
      <c r="BE161" s="179"/>
      <c r="BF161" s="179"/>
      <c r="BG161" s="179"/>
      <c r="BH161" s="179"/>
      <c r="BI161" s="179"/>
      <c r="BJ161" s="179"/>
      <c r="BK161" s="179"/>
      <c r="BL161" s="179"/>
      <c r="BM161" s="179"/>
      <c r="BN161" s="179"/>
      <c r="BO161" s="179"/>
    </row>
    <row r="162" s="142" customFormat="1" spans="1:67">
      <c r="A162" s="184">
        <v>9</v>
      </c>
      <c r="B162" s="173" t="s">
        <v>685</v>
      </c>
      <c r="C162" s="173" t="s">
        <v>879</v>
      </c>
      <c r="D162" s="173" t="s">
        <v>124</v>
      </c>
      <c r="E162" s="165">
        <v>3600</v>
      </c>
      <c r="F162" s="173" t="s">
        <v>400</v>
      </c>
      <c r="G162" s="173" t="s">
        <v>504</v>
      </c>
      <c r="H162" s="173"/>
      <c r="I162" s="173" t="s">
        <v>258</v>
      </c>
      <c r="J162" s="173" t="s">
        <v>677</v>
      </c>
      <c r="K162" s="173" t="s">
        <v>425</v>
      </c>
      <c r="L162" s="173" t="s">
        <v>368</v>
      </c>
      <c r="M162" s="165">
        <v>69600</v>
      </c>
      <c r="N162" s="213" t="s">
        <v>880</v>
      </c>
      <c r="O162" s="193">
        <f t="shared" si="36"/>
        <v>69600</v>
      </c>
      <c r="P162" s="194">
        <f t="shared" si="37"/>
        <v>1</v>
      </c>
      <c r="Q162" s="224">
        <f t="shared" si="38"/>
        <v>69600</v>
      </c>
      <c r="R162" s="225">
        <f t="shared" si="39"/>
        <v>1</v>
      </c>
      <c r="S162" s="236"/>
      <c r="T162" s="173"/>
      <c r="U162" s="173"/>
      <c r="V162" s="173"/>
      <c r="W162" s="173"/>
      <c r="X162" s="173"/>
      <c r="Y162" s="173"/>
      <c r="Z162" s="173"/>
      <c r="AA162" s="173"/>
      <c r="AB162" s="173"/>
      <c r="AC162" s="173"/>
      <c r="AD162" s="173"/>
      <c r="AE162" s="173"/>
      <c r="AF162" s="173"/>
      <c r="AG162" s="173"/>
      <c r="AH162" s="173"/>
      <c r="AI162" s="173"/>
      <c r="AJ162" s="173"/>
      <c r="AK162" s="173"/>
      <c r="AL162" s="173"/>
      <c r="AM162" s="173"/>
      <c r="AN162" s="173"/>
      <c r="AO162" s="173"/>
      <c r="AP162" s="173"/>
      <c r="AQ162" s="173"/>
      <c r="AR162" s="173"/>
      <c r="AS162" s="173"/>
      <c r="AT162" s="173"/>
      <c r="AU162" s="173"/>
      <c r="AV162" s="173"/>
      <c r="AW162" s="173">
        <v>69600</v>
      </c>
      <c r="AX162" s="173">
        <v>69600</v>
      </c>
      <c r="AY162" s="173"/>
      <c r="AZ162" s="173"/>
      <c r="BA162" s="173"/>
      <c r="BB162" s="173"/>
      <c r="BC162" s="173"/>
      <c r="BD162" s="173"/>
      <c r="BE162" s="173"/>
      <c r="BF162" s="173"/>
      <c r="BG162" s="173"/>
      <c r="BH162" s="173"/>
      <c r="BI162" s="173"/>
      <c r="BJ162" s="173"/>
      <c r="BK162" s="173"/>
      <c r="BL162" s="173"/>
      <c r="BM162" s="173"/>
      <c r="BN162" s="173"/>
      <c r="BO162" s="173"/>
    </row>
    <row r="163" s="142" customFormat="1" ht="22.5" spans="1:67">
      <c r="A163" s="184">
        <v>10</v>
      </c>
      <c r="B163" s="173" t="s">
        <v>881</v>
      </c>
      <c r="C163" s="173" t="s">
        <v>879</v>
      </c>
      <c r="D163" s="173" t="s">
        <v>124</v>
      </c>
      <c r="E163" s="165">
        <v>6000</v>
      </c>
      <c r="F163" s="173" t="s">
        <v>882</v>
      </c>
      <c r="G163" s="173" t="s">
        <v>883</v>
      </c>
      <c r="H163" s="173" t="s">
        <v>884</v>
      </c>
      <c r="I163" s="173" t="s">
        <v>885</v>
      </c>
      <c r="J163" s="173" t="s">
        <v>870</v>
      </c>
      <c r="K163" s="173" t="s">
        <v>871</v>
      </c>
      <c r="L163" s="173" t="s">
        <v>252</v>
      </c>
      <c r="M163" s="165">
        <v>87163.8</v>
      </c>
      <c r="N163" s="213" t="s">
        <v>886</v>
      </c>
      <c r="O163" s="193">
        <f t="shared" si="36"/>
        <v>87163.8</v>
      </c>
      <c r="P163" s="194">
        <f t="shared" si="37"/>
        <v>1</v>
      </c>
      <c r="Q163" s="224">
        <f t="shared" si="38"/>
        <v>87163.8</v>
      </c>
      <c r="R163" s="225">
        <f t="shared" si="39"/>
        <v>1</v>
      </c>
      <c r="S163" s="236"/>
      <c r="T163" s="173"/>
      <c r="U163" s="173"/>
      <c r="V163" s="173"/>
      <c r="W163" s="173"/>
      <c r="X163" s="173"/>
      <c r="Y163" s="173"/>
      <c r="Z163" s="173"/>
      <c r="AA163" s="173"/>
      <c r="AB163" s="173"/>
      <c r="AC163" s="173"/>
      <c r="AD163" s="173"/>
      <c r="AE163" s="173"/>
      <c r="AF163" s="173"/>
      <c r="AG163" s="173"/>
      <c r="AH163" s="173"/>
      <c r="AI163" s="173"/>
      <c r="AJ163" s="173"/>
      <c r="AK163" s="173"/>
      <c r="AL163" s="173"/>
      <c r="AM163" s="173"/>
      <c r="AN163" s="173"/>
      <c r="AO163" s="173"/>
      <c r="AP163" s="173"/>
      <c r="AQ163" s="173"/>
      <c r="AR163" s="173"/>
      <c r="AS163" s="173"/>
      <c r="AT163" s="173"/>
      <c r="AU163" s="173"/>
      <c r="AV163" s="173"/>
      <c r="AW163" s="173">
        <v>82805.61</v>
      </c>
      <c r="AX163" s="173"/>
      <c r="AY163" s="173"/>
      <c r="AZ163" s="173"/>
      <c r="BA163" s="173"/>
      <c r="BB163" s="173"/>
      <c r="BC163" s="173"/>
      <c r="BD163" s="173">
        <v>82805.61</v>
      </c>
      <c r="BE163" s="173"/>
      <c r="BF163" s="173"/>
      <c r="BG163" s="173"/>
      <c r="BH163" s="173"/>
      <c r="BI163" s="173"/>
      <c r="BJ163" s="173"/>
      <c r="BK163" s="173"/>
      <c r="BL163" s="173"/>
      <c r="BM163" s="173">
        <v>4358.19</v>
      </c>
      <c r="BN163" s="173">
        <v>4358.19</v>
      </c>
      <c r="BO163" s="173"/>
    </row>
    <row r="164" s="142" customFormat="1" spans="1:67">
      <c r="A164" s="184">
        <v>11</v>
      </c>
      <c r="B164" s="173" t="s">
        <v>847</v>
      </c>
      <c r="C164" s="173" t="s">
        <v>879</v>
      </c>
      <c r="D164" s="173"/>
      <c r="E164" s="165">
        <v>11225</v>
      </c>
      <c r="F164" s="173" t="s">
        <v>887</v>
      </c>
      <c r="G164" s="173" t="s">
        <v>883</v>
      </c>
      <c r="H164" s="173" t="s">
        <v>888</v>
      </c>
      <c r="I164" s="173" t="s">
        <v>889</v>
      </c>
      <c r="J164" s="173" t="s">
        <v>890</v>
      </c>
      <c r="K164" s="173" t="s">
        <v>891</v>
      </c>
      <c r="L164" s="173" t="s">
        <v>252</v>
      </c>
      <c r="M164" s="165">
        <v>98421</v>
      </c>
      <c r="N164" s="213" t="s">
        <v>892</v>
      </c>
      <c r="O164" s="193">
        <f t="shared" si="36"/>
        <v>98421</v>
      </c>
      <c r="P164" s="194">
        <f t="shared" si="37"/>
        <v>1</v>
      </c>
      <c r="Q164" s="224">
        <f t="shared" si="38"/>
        <v>98421</v>
      </c>
      <c r="R164" s="225">
        <f t="shared" si="39"/>
        <v>1</v>
      </c>
      <c r="S164" s="236"/>
      <c r="T164" s="173"/>
      <c r="U164" s="173"/>
      <c r="V164" s="173"/>
      <c r="W164" s="173"/>
      <c r="X164" s="173"/>
      <c r="Y164" s="173"/>
      <c r="Z164" s="173"/>
      <c r="AA164" s="173"/>
      <c r="AB164" s="173"/>
      <c r="AC164" s="173"/>
      <c r="AD164" s="173"/>
      <c r="AE164" s="173"/>
      <c r="AF164" s="173"/>
      <c r="AG164" s="173"/>
      <c r="AH164" s="173"/>
      <c r="AI164" s="173"/>
      <c r="AJ164" s="173"/>
      <c r="AK164" s="173"/>
      <c r="AL164" s="173"/>
      <c r="AM164" s="173"/>
      <c r="AN164" s="173"/>
      <c r="AO164" s="173"/>
      <c r="AP164" s="173"/>
      <c r="AQ164" s="173"/>
      <c r="AR164" s="173"/>
      <c r="AS164" s="173"/>
      <c r="AT164" s="173"/>
      <c r="AU164" s="173"/>
      <c r="AV164" s="173"/>
      <c r="AW164" s="173">
        <v>93499.95</v>
      </c>
      <c r="AX164" s="173"/>
      <c r="AY164" s="173"/>
      <c r="AZ164" s="173"/>
      <c r="BA164" s="173"/>
      <c r="BB164" s="173"/>
      <c r="BC164" s="173"/>
      <c r="BD164" s="173"/>
      <c r="BE164" s="173"/>
      <c r="BF164" s="173"/>
      <c r="BG164" s="173"/>
      <c r="BH164" s="173"/>
      <c r="BI164" s="173"/>
      <c r="BJ164" s="173">
        <v>93499.95</v>
      </c>
      <c r="BK164" s="173"/>
      <c r="BL164" s="173"/>
      <c r="BM164" s="173">
        <v>4921.05</v>
      </c>
      <c r="BN164" s="173">
        <v>4921.05</v>
      </c>
      <c r="BO164" s="173"/>
    </row>
    <row r="165" s="142" customFormat="1" spans="1:67">
      <c r="A165" s="184">
        <v>12</v>
      </c>
      <c r="B165" s="173" t="s">
        <v>881</v>
      </c>
      <c r="C165" s="173" t="s">
        <v>879</v>
      </c>
      <c r="D165" s="173"/>
      <c r="E165" s="165">
        <v>5600</v>
      </c>
      <c r="F165" s="173" t="s">
        <v>893</v>
      </c>
      <c r="G165" s="173" t="s">
        <v>883</v>
      </c>
      <c r="H165" s="173" t="s">
        <v>894</v>
      </c>
      <c r="I165" s="173" t="s">
        <v>895</v>
      </c>
      <c r="J165" s="173" t="s">
        <v>896</v>
      </c>
      <c r="K165" s="173" t="s">
        <v>897</v>
      </c>
      <c r="L165" s="173" t="s">
        <v>252</v>
      </c>
      <c r="M165" s="165">
        <v>178000</v>
      </c>
      <c r="N165" s="213" t="s">
        <v>898</v>
      </c>
      <c r="O165" s="193">
        <f t="shared" si="36"/>
        <v>178000</v>
      </c>
      <c r="P165" s="194">
        <f t="shared" si="37"/>
        <v>1</v>
      </c>
      <c r="Q165" s="224">
        <f t="shared" si="38"/>
        <v>178000</v>
      </c>
      <c r="R165" s="225">
        <f t="shared" si="39"/>
        <v>1</v>
      </c>
      <c r="S165" s="236"/>
      <c r="T165" s="173">
        <v>44500</v>
      </c>
      <c r="U165" s="173"/>
      <c r="V165" s="173"/>
      <c r="W165" s="173"/>
      <c r="X165" s="173"/>
      <c r="Y165" s="173"/>
      <c r="Z165" s="173"/>
      <c r="AA165" s="173"/>
      <c r="AB165" s="173"/>
      <c r="AC165" s="173"/>
      <c r="AD165" s="173"/>
      <c r="AE165" s="173"/>
      <c r="AF165" s="173"/>
      <c r="AG165" s="173"/>
      <c r="AH165" s="173"/>
      <c r="AI165" s="173"/>
      <c r="AJ165" s="173"/>
      <c r="AK165" s="173"/>
      <c r="AL165" s="173"/>
      <c r="AM165" s="173"/>
      <c r="AN165" s="173"/>
      <c r="AO165" s="173"/>
      <c r="AP165" s="173"/>
      <c r="AQ165" s="173"/>
      <c r="AR165" s="173"/>
      <c r="AS165" s="173"/>
      <c r="AT165" s="173"/>
      <c r="AU165" s="173"/>
      <c r="AV165" s="173"/>
      <c r="AW165" s="173">
        <v>44500</v>
      </c>
      <c r="AX165" s="173"/>
      <c r="AY165" s="173"/>
      <c r="AZ165" s="173"/>
      <c r="BA165" s="173"/>
      <c r="BB165" s="173">
        <v>44500</v>
      </c>
      <c r="BC165" s="173"/>
      <c r="BD165" s="173"/>
      <c r="BE165" s="173"/>
      <c r="BF165" s="173"/>
      <c r="BG165" s="173"/>
      <c r="BH165" s="173"/>
      <c r="BI165" s="173">
        <v>44500</v>
      </c>
      <c r="BJ165" s="173"/>
      <c r="BK165" s="173"/>
      <c r="BL165" s="173"/>
      <c r="BM165" s="173">
        <v>89000</v>
      </c>
      <c r="BN165" s="142">
        <v>89000</v>
      </c>
      <c r="BO165" s="173"/>
    </row>
    <row r="166" s="142" customFormat="1" spans="1:67">
      <c r="A166" s="184" t="s">
        <v>899</v>
      </c>
      <c r="B166" s="173" t="s">
        <v>847</v>
      </c>
      <c r="C166" s="173"/>
      <c r="D166" s="173"/>
      <c r="E166" s="165"/>
      <c r="F166" s="173" t="s">
        <v>893</v>
      </c>
      <c r="G166" s="173" t="s">
        <v>883</v>
      </c>
      <c r="H166" s="173"/>
      <c r="I166" s="173" t="s">
        <v>900</v>
      </c>
      <c r="J166" s="173"/>
      <c r="K166" s="173"/>
      <c r="L166" s="173" t="s">
        <v>252</v>
      </c>
      <c r="M166" s="165">
        <v>69170.04</v>
      </c>
      <c r="N166" s="213" t="s">
        <v>688</v>
      </c>
      <c r="O166" s="193">
        <f t="shared" si="36"/>
        <v>69170.04</v>
      </c>
      <c r="P166" s="194">
        <f t="shared" si="37"/>
        <v>1</v>
      </c>
      <c r="Q166" s="224">
        <f t="shared" si="38"/>
        <v>69170.04</v>
      </c>
      <c r="R166" s="225">
        <f t="shared" si="39"/>
        <v>1</v>
      </c>
      <c r="S166" s="236"/>
      <c r="T166" s="173"/>
      <c r="U166" s="173"/>
      <c r="V166" s="173"/>
      <c r="W166" s="173"/>
      <c r="X166" s="173"/>
      <c r="Y166" s="173"/>
      <c r="Z166" s="173"/>
      <c r="AA166" s="173"/>
      <c r="AB166" s="173"/>
      <c r="AC166" s="173"/>
      <c r="AD166" s="173"/>
      <c r="AE166" s="173"/>
      <c r="AF166" s="173"/>
      <c r="AG166" s="173"/>
      <c r="AH166" s="173"/>
      <c r="AI166" s="173"/>
      <c r="AJ166" s="173"/>
      <c r="AK166" s="173"/>
      <c r="AL166" s="173"/>
      <c r="AM166" s="173"/>
      <c r="AN166" s="173"/>
      <c r="AO166" s="173"/>
      <c r="AP166" s="173"/>
      <c r="AQ166" s="173"/>
      <c r="AR166" s="173"/>
      <c r="AS166" s="173">
        <v>69170.04</v>
      </c>
      <c r="AT166" s="173"/>
      <c r="AU166" s="173"/>
      <c r="AV166" s="173"/>
      <c r="AW166" s="173"/>
      <c r="AX166" s="173">
        <v>69170.04</v>
      </c>
      <c r="AY166" s="173"/>
      <c r="AZ166" s="173"/>
      <c r="BA166" s="173"/>
      <c r="BB166" s="173"/>
      <c r="BC166" s="173"/>
      <c r="BD166" s="173"/>
      <c r="BE166" s="173"/>
      <c r="BF166" s="173"/>
      <c r="BG166" s="173"/>
      <c r="BH166" s="173"/>
      <c r="BI166" s="173"/>
      <c r="BJ166" s="173"/>
      <c r="BK166" s="173"/>
      <c r="BL166" s="173"/>
      <c r="BM166" s="173"/>
      <c r="BN166" s="173"/>
      <c r="BO166" s="173"/>
    </row>
    <row r="167" s="142" customFormat="1" spans="1:67">
      <c r="A167" s="184">
        <v>14</v>
      </c>
      <c r="B167" s="173" t="s">
        <v>881</v>
      </c>
      <c r="C167" s="173" t="s">
        <v>879</v>
      </c>
      <c r="D167" s="173"/>
      <c r="E167" s="165">
        <v>31200</v>
      </c>
      <c r="F167" s="173" t="s">
        <v>901</v>
      </c>
      <c r="G167" s="173" t="s">
        <v>883</v>
      </c>
      <c r="H167" s="173"/>
      <c r="I167" s="173" t="s">
        <v>902</v>
      </c>
      <c r="J167" s="173" t="s">
        <v>903</v>
      </c>
      <c r="K167" s="173" t="s">
        <v>904</v>
      </c>
      <c r="L167" s="173" t="s">
        <v>252</v>
      </c>
      <c r="M167" s="165">
        <v>92008</v>
      </c>
      <c r="N167" s="213" t="s">
        <v>898</v>
      </c>
      <c r="O167" s="193">
        <f t="shared" si="36"/>
        <v>92008</v>
      </c>
      <c r="P167" s="194">
        <f t="shared" si="37"/>
        <v>1</v>
      </c>
      <c r="Q167" s="224">
        <f t="shared" si="38"/>
        <v>92008</v>
      </c>
      <c r="R167" s="225">
        <f t="shared" si="39"/>
        <v>1</v>
      </c>
      <c r="S167" s="236"/>
      <c r="T167" s="173"/>
      <c r="U167" s="173"/>
      <c r="V167" s="173"/>
      <c r="W167" s="173"/>
      <c r="X167" s="173"/>
      <c r="Y167" s="173"/>
      <c r="Z167" s="173"/>
      <c r="AA167" s="173"/>
      <c r="AB167" s="173"/>
      <c r="AC167" s="173"/>
      <c r="AD167" s="173"/>
      <c r="AE167" s="173"/>
      <c r="AF167" s="173"/>
      <c r="AG167" s="173"/>
      <c r="AH167" s="173"/>
      <c r="AI167" s="173"/>
      <c r="AJ167" s="173"/>
      <c r="AK167" s="173"/>
      <c r="AL167" s="173"/>
      <c r="AM167" s="173"/>
      <c r="AN167" s="173"/>
      <c r="AO167" s="173"/>
      <c r="AP167" s="173"/>
      <c r="AQ167" s="173"/>
      <c r="AR167" s="173"/>
      <c r="AS167" s="173"/>
      <c r="AT167" s="173"/>
      <c r="AU167" s="173"/>
      <c r="AV167" s="173"/>
      <c r="AW167" s="173"/>
      <c r="AX167" s="173"/>
      <c r="AY167" s="173"/>
      <c r="AZ167" s="173"/>
      <c r="BA167" s="173"/>
      <c r="BB167" s="173"/>
      <c r="BC167" s="173"/>
      <c r="BD167" s="173"/>
      <c r="BE167" s="173">
        <v>46004</v>
      </c>
      <c r="BF167" s="173"/>
      <c r="BG167" s="173"/>
      <c r="BH167" s="173"/>
      <c r="BI167" s="173"/>
      <c r="BJ167" s="173"/>
      <c r="BK167" s="173">
        <v>46004</v>
      </c>
      <c r="BL167" s="173">
        <v>46004</v>
      </c>
      <c r="BM167" s="173"/>
      <c r="BN167" s="173">
        <v>46004</v>
      </c>
      <c r="BO167" s="173"/>
    </row>
    <row r="168" s="142" customFormat="1" spans="1:67">
      <c r="A168" s="184">
        <v>15</v>
      </c>
      <c r="B168" s="173" t="s">
        <v>230</v>
      </c>
      <c r="C168" s="173" t="s">
        <v>905</v>
      </c>
      <c r="D168" s="173"/>
      <c r="E168" s="165"/>
      <c r="F168" s="173" t="s">
        <v>407</v>
      </c>
      <c r="G168" s="173" t="s">
        <v>408</v>
      </c>
      <c r="H168" s="173" t="s">
        <v>906</v>
      </c>
      <c r="I168" s="173" t="s">
        <v>907</v>
      </c>
      <c r="J168" s="173" t="s">
        <v>908</v>
      </c>
      <c r="K168" s="173" t="s">
        <v>909</v>
      </c>
      <c r="L168" s="173" t="s">
        <v>368</v>
      </c>
      <c r="M168" s="165">
        <v>3075</v>
      </c>
      <c r="N168" s="213" t="s">
        <v>910</v>
      </c>
      <c r="O168" s="193">
        <f t="shared" si="36"/>
        <v>3075</v>
      </c>
      <c r="P168" s="194">
        <f t="shared" si="37"/>
        <v>1</v>
      </c>
      <c r="Q168" s="224">
        <f t="shared" si="38"/>
        <v>3075</v>
      </c>
      <c r="R168" s="225">
        <f t="shared" si="39"/>
        <v>1</v>
      </c>
      <c r="S168" s="236"/>
      <c r="T168" s="173"/>
      <c r="U168" s="173"/>
      <c r="V168" s="173"/>
      <c r="W168" s="173"/>
      <c r="X168" s="173"/>
      <c r="Y168" s="173"/>
      <c r="Z168" s="173"/>
      <c r="AA168" s="173"/>
      <c r="AB168" s="173"/>
      <c r="AC168" s="173"/>
      <c r="AD168" s="173"/>
      <c r="AE168" s="173"/>
      <c r="AF168" s="173"/>
      <c r="AG168" s="173"/>
      <c r="AH168" s="173"/>
      <c r="AI168" s="173"/>
      <c r="AJ168" s="173"/>
      <c r="AK168" s="173"/>
      <c r="AL168" s="173"/>
      <c r="AM168" s="173"/>
      <c r="AN168" s="173"/>
      <c r="AO168" s="173">
        <v>3075</v>
      </c>
      <c r="AP168" s="173">
        <v>3075</v>
      </c>
      <c r="AQ168" s="173"/>
      <c r="AR168" s="173"/>
      <c r="AS168" s="173"/>
      <c r="AT168" s="173"/>
      <c r="AU168" s="173"/>
      <c r="AV168" s="173"/>
      <c r="AW168" s="173"/>
      <c r="AX168" s="173"/>
      <c r="AY168" s="173"/>
      <c r="AZ168" s="173"/>
      <c r="BA168" s="173"/>
      <c r="BB168" s="173"/>
      <c r="BC168" s="173"/>
      <c r="BD168" s="173"/>
      <c r="BE168" s="173"/>
      <c r="BF168" s="173"/>
      <c r="BG168" s="173"/>
      <c r="BH168" s="173"/>
      <c r="BI168" s="173"/>
      <c r="BJ168" s="173"/>
      <c r="BK168" s="173"/>
      <c r="BL168" s="173"/>
      <c r="BM168" s="173"/>
      <c r="BN168" s="173"/>
      <c r="BO168" s="173"/>
    </row>
    <row r="169" s="142" customFormat="1" ht="22.5" spans="1:67">
      <c r="A169" s="184">
        <v>16</v>
      </c>
      <c r="B169" s="173" t="s">
        <v>847</v>
      </c>
      <c r="C169" s="173" t="s">
        <v>911</v>
      </c>
      <c r="D169" s="173"/>
      <c r="E169" s="165"/>
      <c r="F169" s="173" t="s">
        <v>912</v>
      </c>
      <c r="G169" s="173" t="s">
        <v>913</v>
      </c>
      <c r="H169" s="249" t="s">
        <v>914</v>
      </c>
      <c r="I169" s="236" t="s">
        <v>915</v>
      </c>
      <c r="J169" s="173" t="s">
        <v>916</v>
      </c>
      <c r="K169" s="173" t="s">
        <v>911</v>
      </c>
      <c r="L169" s="173" t="s">
        <v>252</v>
      </c>
      <c r="M169" s="165">
        <v>16305</v>
      </c>
      <c r="N169" s="213" t="s">
        <v>917</v>
      </c>
      <c r="O169" s="193">
        <f t="shared" si="36"/>
        <v>16305</v>
      </c>
      <c r="P169" s="194">
        <f t="shared" si="37"/>
        <v>1</v>
      </c>
      <c r="Q169" s="224">
        <f t="shared" si="38"/>
        <v>16305</v>
      </c>
      <c r="R169" s="225">
        <f t="shared" si="39"/>
        <v>1</v>
      </c>
      <c r="S169" s="236"/>
      <c r="T169" s="249"/>
      <c r="U169" s="236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173"/>
      <c r="AF169" s="173"/>
      <c r="AG169" s="173"/>
      <c r="AH169" s="173"/>
      <c r="AI169" s="173"/>
      <c r="AJ169" s="173"/>
      <c r="AK169" s="173"/>
      <c r="AL169" s="173"/>
      <c r="AM169" s="173">
        <v>16305</v>
      </c>
      <c r="AN169" s="173"/>
      <c r="AO169" s="173"/>
      <c r="AP169" s="173"/>
      <c r="AQ169" s="173"/>
      <c r="AR169" s="173">
        <v>14674.5</v>
      </c>
      <c r="AS169" s="173"/>
      <c r="AT169" s="173"/>
      <c r="AU169" s="173"/>
      <c r="AV169" s="173"/>
      <c r="AW169" s="173"/>
      <c r="AX169" s="173"/>
      <c r="AY169" s="173"/>
      <c r="AZ169" s="173"/>
      <c r="BA169" s="173"/>
      <c r="BB169" s="173"/>
      <c r="BC169" s="173"/>
      <c r="BD169" s="173"/>
      <c r="BE169" s="173"/>
      <c r="BF169" s="173"/>
      <c r="BG169" s="173"/>
      <c r="BH169" s="173"/>
      <c r="BI169" s="173"/>
      <c r="BJ169" s="173"/>
      <c r="BK169" s="173"/>
      <c r="BL169" s="173"/>
      <c r="BM169" s="173"/>
      <c r="BN169" s="173">
        <v>1630.5</v>
      </c>
      <c r="BO169" s="173"/>
    </row>
    <row r="170" s="144" customFormat="1" spans="1:69">
      <c r="A170" s="250" t="s">
        <v>918</v>
      </c>
      <c r="B170" s="251" t="s">
        <v>881</v>
      </c>
      <c r="C170" s="252">
        <v>43557</v>
      </c>
      <c r="D170" s="253" t="s">
        <v>368</v>
      </c>
      <c r="E170" s="254">
        <v>1500</v>
      </c>
      <c r="F170" s="253" t="s">
        <v>919</v>
      </c>
      <c r="G170" s="253" t="s">
        <v>920</v>
      </c>
      <c r="H170" s="255" t="s">
        <v>921</v>
      </c>
      <c r="I170" s="261" t="s">
        <v>128</v>
      </c>
      <c r="J170" s="252">
        <v>43405</v>
      </c>
      <c r="K170" s="252">
        <v>43525</v>
      </c>
      <c r="L170" s="253" t="s">
        <v>368</v>
      </c>
      <c r="M170" s="262">
        <v>15900</v>
      </c>
      <c r="N170" s="263" t="s">
        <v>922</v>
      </c>
      <c r="O170" s="193">
        <f t="shared" si="36"/>
        <v>15900</v>
      </c>
      <c r="P170" s="194">
        <f t="shared" si="37"/>
        <v>1</v>
      </c>
      <c r="Q170" s="224">
        <f t="shared" si="38"/>
        <v>15900</v>
      </c>
      <c r="R170" s="225">
        <f t="shared" si="39"/>
        <v>1</v>
      </c>
      <c r="S170" s="224"/>
      <c r="T170" s="225"/>
      <c r="U170" s="261"/>
      <c r="V170" s="253"/>
      <c r="W170" s="253"/>
      <c r="X170" s="253"/>
      <c r="Y170" s="253"/>
      <c r="Z170" s="253"/>
      <c r="AA170" s="253"/>
      <c r="AB170" s="253"/>
      <c r="AC170" s="253"/>
      <c r="AD170" s="253"/>
      <c r="AE170" s="253"/>
      <c r="AF170" s="253"/>
      <c r="AG170" s="253"/>
      <c r="AH170" s="253"/>
      <c r="AI170" s="253"/>
      <c r="AJ170" s="253"/>
      <c r="AK170" s="253"/>
      <c r="AL170" s="253"/>
      <c r="AM170" s="253"/>
      <c r="AN170" s="253"/>
      <c r="AO170" s="253"/>
      <c r="AP170" s="253"/>
      <c r="AQ170" s="253"/>
      <c r="AR170" s="253"/>
      <c r="AS170" s="253"/>
      <c r="AT170" s="253"/>
      <c r="AU170" s="253"/>
      <c r="AV170" s="253"/>
      <c r="AW170" s="253"/>
      <c r="AX170" s="253"/>
      <c r="AY170" s="253"/>
      <c r="AZ170" s="253"/>
      <c r="BA170" s="253">
        <v>15900</v>
      </c>
      <c r="BB170" s="253"/>
      <c r="BC170" s="253"/>
      <c r="BD170" s="253">
        <v>15900</v>
      </c>
      <c r="BE170" s="253"/>
      <c r="BF170" s="253"/>
      <c r="BG170" s="253"/>
      <c r="BH170" s="253"/>
      <c r="BI170" s="253"/>
      <c r="BJ170" s="253"/>
      <c r="BK170" s="253"/>
      <c r="BL170" s="253"/>
      <c r="BM170" s="253"/>
      <c r="BN170" s="253"/>
      <c r="BO170" s="253"/>
      <c r="BP170" s="253"/>
      <c r="BQ170" s="253"/>
    </row>
    <row r="171" spans="1:67">
      <c r="A171" s="174" t="s">
        <v>53</v>
      </c>
      <c r="B171" s="175"/>
      <c r="C171" s="175"/>
      <c r="D171" s="175"/>
      <c r="E171" s="176"/>
      <c r="F171" s="175"/>
      <c r="G171" s="175"/>
      <c r="H171" s="175"/>
      <c r="I171" s="175"/>
      <c r="J171" s="175"/>
      <c r="K171" s="175"/>
      <c r="L171" s="175"/>
      <c r="M171" s="206">
        <f>SUM(M155:M170)</f>
        <v>830622.84</v>
      </c>
      <c r="N171" s="207"/>
      <c r="O171" s="208">
        <f>SUM(O155:O170)</f>
        <v>816622.84</v>
      </c>
      <c r="P171" s="209">
        <f t="shared" si="37"/>
        <v>0.983145178141261</v>
      </c>
      <c r="Q171" s="208">
        <f>SUM(Q155:Q170)</f>
        <v>816622.84</v>
      </c>
      <c r="R171" s="234">
        <f t="shared" si="39"/>
        <v>0.983145178141261</v>
      </c>
      <c r="S171" s="235"/>
      <c r="T171" s="175"/>
      <c r="U171" s="175"/>
      <c r="V171" s="175"/>
      <c r="W171" s="175"/>
      <c r="X171" s="175"/>
      <c r="Y171" s="175"/>
      <c r="Z171" s="175"/>
      <c r="AA171" s="175"/>
      <c r="AB171" s="175"/>
      <c r="AC171" s="175"/>
      <c r="AD171" s="175"/>
      <c r="AE171" s="175"/>
      <c r="AF171" s="175"/>
      <c r="AG171" s="175"/>
      <c r="AH171" s="175"/>
      <c r="AI171" s="175"/>
      <c r="AJ171" s="175"/>
      <c r="AK171" s="175"/>
      <c r="AL171" s="175"/>
      <c r="AM171" s="175"/>
      <c r="AN171" s="175"/>
      <c r="AO171" s="175"/>
      <c r="AP171" s="175"/>
      <c r="AQ171" s="175"/>
      <c r="AR171" s="175"/>
      <c r="AS171" s="175"/>
      <c r="AT171" s="175"/>
      <c r="AU171" s="175"/>
      <c r="AV171" s="175"/>
      <c r="AW171" s="175"/>
      <c r="AX171" s="175"/>
      <c r="AY171" s="175"/>
      <c r="AZ171" s="175"/>
      <c r="BA171" s="175"/>
      <c r="BB171" s="175"/>
      <c r="BC171" s="175"/>
      <c r="BD171" s="175"/>
      <c r="BE171" s="175"/>
      <c r="BF171" s="175"/>
      <c r="BG171" s="175"/>
      <c r="BH171" s="175"/>
      <c r="BI171" s="175"/>
      <c r="BJ171" s="175"/>
      <c r="BK171" s="175"/>
      <c r="BL171" s="175"/>
      <c r="BM171" s="175"/>
      <c r="BN171" s="175"/>
      <c r="BO171" s="179"/>
    </row>
    <row r="172" spans="1:67">
      <c r="A172" s="174" t="s">
        <v>923</v>
      </c>
      <c r="B172" s="175"/>
      <c r="C172" s="175"/>
      <c r="D172" s="175"/>
      <c r="E172" s="176"/>
      <c r="F172" s="175"/>
      <c r="G172" s="175"/>
      <c r="H172" s="175"/>
      <c r="I172" s="175"/>
      <c r="J172" s="175"/>
      <c r="K172" s="175"/>
      <c r="L172" s="175"/>
      <c r="M172" s="176">
        <f>M154+M171</f>
        <v>18545057.41</v>
      </c>
      <c r="N172" s="207"/>
      <c r="O172" s="208">
        <f>O154+O171</f>
        <v>8754621.6</v>
      </c>
      <c r="P172" s="209">
        <f t="shared" si="37"/>
        <v>0.472073038462489</v>
      </c>
      <c r="Q172" s="208">
        <f>Q154+Q171</f>
        <v>7816103.06</v>
      </c>
      <c r="R172" s="234">
        <f t="shared" si="39"/>
        <v>0.421465562882827</v>
      </c>
      <c r="S172" s="235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5"/>
      <c r="AE172" s="175"/>
      <c r="AF172" s="175"/>
      <c r="AG172" s="175"/>
      <c r="AH172" s="175"/>
      <c r="AI172" s="175"/>
      <c r="AJ172" s="175"/>
      <c r="AK172" s="175"/>
      <c r="AL172" s="175"/>
      <c r="AM172" s="175"/>
      <c r="AN172" s="175"/>
      <c r="AO172" s="175"/>
      <c r="AP172" s="175"/>
      <c r="AQ172" s="175"/>
      <c r="AR172" s="175"/>
      <c r="AS172" s="175"/>
      <c r="AT172" s="175"/>
      <c r="AU172" s="175"/>
      <c r="AV172" s="175"/>
      <c r="AW172" s="175"/>
      <c r="AX172" s="175"/>
      <c r="AY172" s="175"/>
      <c r="AZ172" s="175"/>
      <c r="BA172" s="175"/>
      <c r="BB172" s="175"/>
      <c r="BC172" s="175"/>
      <c r="BD172" s="175"/>
      <c r="BE172" s="175"/>
      <c r="BF172" s="175"/>
      <c r="BG172" s="175"/>
      <c r="BH172" s="175"/>
      <c r="BI172" s="175"/>
      <c r="BJ172" s="175"/>
      <c r="BK172" s="175"/>
      <c r="BL172" s="175"/>
      <c r="BM172" s="175"/>
      <c r="BN172" s="175"/>
      <c r="BO172" s="179"/>
    </row>
    <row r="173" ht="22.5" spans="1:67">
      <c r="A173" s="243">
        <v>1</v>
      </c>
      <c r="B173" s="179" t="s">
        <v>689</v>
      </c>
      <c r="C173" s="179" t="s">
        <v>924</v>
      </c>
      <c r="D173" s="179" t="s">
        <v>514</v>
      </c>
      <c r="E173" s="180"/>
      <c r="F173" s="179" t="s">
        <v>925</v>
      </c>
      <c r="G173" s="179" t="s">
        <v>926</v>
      </c>
      <c r="H173" s="179" t="s">
        <v>927</v>
      </c>
      <c r="I173" s="179" t="s">
        <v>928</v>
      </c>
      <c r="J173" s="179" t="s">
        <v>929</v>
      </c>
      <c r="K173" s="179" t="s">
        <v>930</v>
      </c>
      <c r="L173" s="179" t="s">
        <v>496</v>
      </c>
      <c r="M173" s="180">
        <v>66000</v>
      </c>
      <c r="N173" s="216" t="s">
        <v>931</v>
      </c>
      <c r="O173" s="211">
        <f t="shared" ref="O173:O182" si="40">S173+U173+W173+Y173+AA173+AC173+AE173+AG173+AI173+AK173+AM173+AO173+AQ173+AS173+AU173+AW173+AY173+BA173+BC173+BE173+BG173+BI173+BK173+BM173</f>
        <v>0</v>
      </c>
      <c r="P173" s="212">
        <f t="shared" ref="P173:P182" si="41">O173/M173</f>
        <v>0</v>
      </c>
      <c r="Q173" s="237">
        <f t="shared" ref="Q173:Q182" si="42">T173+V173+X173+Z173+AB173+AD173+AF173+AH173+AJ173+AL173+AN173+AP173+AR173+AT173+AV173+AX173+AZ173+BB173+BD173+BF173+BH173+BJ173+BL173+BN173</f>
        <v>46000</v>
      </c>
      <c r="R173" s="238">
        <f t="shared" ref="R173:R182" si="43">Q173/M173</f>
        <v>0.696969696969697</v>
      </c>
      <c r="S173" s="239"/>
      <c r="T173" s="179"/>
      <c r="U173" s="179"/>
      <c r="V173" s="179"/>
      <c r="W173" s="179"/>
      <c r="X173" s="179"/>
      <c r="Y173" s="179"/>
      <c r="Z173" s="179"/>
      <c r="AA173" s="179"/>
      <c r="AB173" s="179"/>
      <c r="AC173" s="179"/>
      <c r="AD173" s="179"/>
      <c r="AE173" s="179"/>
      <c r="AF173" s="179"/>
      <c r="AG173" s="179"/>
      <c r="AH173" s="179"/>
      <c r="AI173" s="179"/>
      <c r="AJ173" s="179"/>
      <c r="AK173" s="179"/>
      <c r="AL173" s="179"/>
      <c r="AM173" s="179"/>
      <c r="AN173" s="179"/>
      <c r="AO173" s="179"/>
      <c r="AP173" s="179"/>
      <c r="AQ173" s="179"/>
      <c r="AR173" s="179"/>
      <c r="AS173" s="179"/>
      <c r="AT173" s="179"/>
      <c r="AU173" s="179"/>
      <c r="AV173" s="179"/>
      <c r="AW173" s="179"/>
      <c r="AX173" s="179"/>
      <c r="AY173" s="179"/>
      <c r="AZ173" s="179"/>
      <c r="BA173" s="179"/>
      <c r="BB173" s="179">
        <v>33000</v>
      </c>
      <c r="BC173" s="179"/>
      <c r="BD173" s="179"/>
      <c r="BE173" s="179"/>
      <c r="BF173" s="179">
        <v>13000</v>
      </c>
      <c r="BG173" s="179"/>
      <c r="BH173" s="179"/>
      <c r="BI173" s="179"/>
      <c r="BJ173" s="179"/>
      <c r="BK173" s="179"/>
      <c r="BL173" s="179"/>
      <c r="BM173" s="179"/>
      <c r="BN173" s="179"/>
      <c r="BO173" s="179"/>
    </row>
    <row r="174" s="142" customFormat="1" spans="1:67">
      <c r="A174" s="184">
        <v>2</v>
      </c>
      <c r="B174" s="173" t="s">
        <v>736</v>
      </c>
      <c r="C174" s="173" t="s">
        <v>932</v>
      </c>
      <c r="D174" s="173"/>
      <c r="E174" s="165"/>
      <c r="F174" s="173" t="s">
        <v>933</v>
      </c>
      <c r="G174" s="173" t="s">
        <v>934</v>
      </c>
      <c r="H174" s="173" t="s">
        <v>935</v>
      </c>
      <c r="I174" s="173" t="s">
        <v>936</v>
      </c>
      <c r="J174" s="173" t="s">
        <v>554</v>
      </c>
      <c r="K174" s="173" t="s">
        <v>937</v>
      </c>
      <c r="L174" s="173" t="s">
        <v>461</v>
      </c>
      <c r="M174" s="165">
        <v>480000</v>
      </c>
      <c r="N174" s="205"/>
      <c r="O174" s="193">
        <f t="shared" si="40"/>
        <v>0</v>
      </c>
      <c r="P174" s="194">
        <f t="shared" si="41"/>
        <v>0</v>
      </c>
      <c r="Q174" s="224">
        <f t="shared" si="42"/>
        <v>0</v>
      </c>
      <c r="R174" s="225">
        <f t="shared" si="43"/>
        <v>0</v>
      </c>
      <c r="S174" s="236"/>
      <c r="T174" s="173"/>
      <c r="U174" s="173"/>
      <c r="V174" s="173"/>
      <c r="W174" s="173"/>
      <c r="X174" s="173"/>
      <c r="Y174" s="173"/>
      <c r="Z174" s="173"/>
      <c r="AA174" s="173"/>
      <c r="AB174" s="173"/>
      <c r="AC174" s="173"/>
      <c r="AD174" s="173"/>
      <c r="AE174" s="173"/>
      <c r="AF174" s="173"/>
      <c r="AG174" s="173"/>
      <c r="AH174" s="173"/>
      <c r="AI174" s="173"/>
      <c r="AJ174" s="173"/>
      <c r="AK174" s="173"/>
      <c r="AL174" s="173"/>
      <c r="AM174" s="173"/>
      <c r="AN174" s="173"/>
      <c r="AO174" s="173"/>
      <c r="AP174" s="173"/>
      <c r="AQ174" s="173"/>
      <c r="AR174" s="173"/>
      <c r="AS174" s="173"/>
      <c r="AT174" s="173"/>
      <c r="AU174" s="173"/>
      <c r="AV174" s="173"/>
      <c r="AW174" s="173"/>
      <c r="AX174" s="173"/>
      <c r="AY174" s="173"/>
      <c r="AZ174" s="173"/>
      <c r="BA174" s="173"/>
      <c r="BB174" s="173"/>
      <c r="BC174" s="173"/>
      <c r="BD174" s="173"/>
      <c r="BE174" s="173"/>
      <c r="BF174" s="173"/>
      <c r="BG174" s="173"/>
      <c r="BH174" s="173"/>
      <c r="BI174" s="173"/>
      <c r="BJ174" s="173"/>
      <c r="BK174" s="173"/>
      <c r="BL174" s="173"/>
      <c r="BM174" s="173"/>
      <c r="BN174" s="173"/>
      <c r="BO174" s="173"/>
    </row>
    <row r="175" s="142" customFormat="1" spans="1:67">
      <c r="A175" s="184" t="s">
        <v>938</v>
      </c>
      <c r="B175" s="173" t="s">
        <v>736</v>
      </c>
      <c r="C175" s="173" t="s">
        <v>932</v>
      </c>
      <c r="D175" s="173"/>
      <c r="E175" s="165"/>
      <c r="F175" s="173" t="s">
        <v>939</v>
      </c>
      <c r="G175" s="173" t="s">
        <v>940</v>
      </c>
      <c r="H175" s="173"/>
      <c r="I175" s="173" t="s">
        <v>941</v>
      </c>
      <c r="J175" s="173" t="s">
        <v>870</v>
      </c>
      <c r="K175" s="173" t="s">
        <v>942</v>
      </c>
      <c r="L175" s="173" t="s">
        <v>461</v>
      </c>
      <c r="M175" s="165">
        <v>1116000</v>
      </c>
      <c r="N175" s="205"/>
      <c r="O175" s="193">
        <f t="shared" si="40"/>
        <v>0</v>
      </c>
      <c r="P175" s="194">
        <f t="shared" si="41"/>
        <v>0</v>
      </c>
      <c r="Q175" s="224">
        <f t="shared" si="42"/>
        <v>0</v>
      </c>
      <c r="R175" s="225">
        <f t="shared" si="43"/>
        <v>0</v>
      </c>
      <c r="S175" s="236"/>
      <c r="T175" s="173"/>
      <c r="U175" s="173"/>
      <c r="V175" s="173"/>
      <c r="W175" s="173"/>
      <c r="X175" s="173"/>
      <c r="Y175" s="173"/>
      <c r="Z175" s="173"/>
      <c r="AA175" s="173"/>
      <c r="AB175" s="173"/>
      <c r="AC175" s="173"/>
      <c r="AD175" s="173"/>
      <c r="AE175" s="173"/>
      <c r="AF175" s="173"/>
      <c r="AG175" s="173"/>
      <c r="AH175" s="173"/>
      <c r="AI175" s="173"/>
      <c r="AJ175" s="173"/>
      <c r="AK175" s="173"/>
      <c r="AL175" s="173"/>
      <c r="AM175" s="173"/>
      <c r="AN175" s="173"/>
      <c r="AO175" s="173"/>
      <c r="AP175" s="173"/>
      <c r="AQ175" s="173"/>
      <c r="AR175" s="173"/>
      <c r="AS175" s="173"/>
      <c r="AT175" s="173"/>
      <c r="AU175" s="173"/>
      <c r="AV175" s="173"/>
      <c r="AW175" s="173"/>
      <c r="AX175" s="173"/>
      <c r="AY175" s="173"/>
      <c r="AZ175" s="173"/>
      <c r="BA175" s="173"/>
      <c r="BB175" s="173"/>
      <c r="BC175" s="173"/>
      <c r="BD175" s="173"/>
      <c r="BE175" s="173"/>
      <c r="BF175" s="173"/>
      <c r="BG175" s="173"/>
      <c r="BH175" s="173"/>
      <c r="BI175" s="173"/>
      <c r="BJ175" s="173"/>
      <c r="BK175" s="173"/>
      <c r="BL175" s="173"/>
      <c r="BM175" s="173"/>
      <c r="BN175" s="173"/>
      <c r="BO175" s="173"/>
    </row>
    <row r="176" s="142" customFormat="1" spans="1:67">
      <c r="A176" s="184">
        <v>4</v>
      </c>
      <c r="B176" s="173" t="s">
        <v>230</v>
      </c>
      <c r="C176" s="173" t="s">
        <v>891</v>
      </c>
      <c r="D176" s="173" t="s">
        <v>124</v>
      </c>
      <c r="E176" s="165">
        <v>245</v>
      </c>
      <c r="F176" s="173" t="s">
        <v>255</v>
      </c>
      <c r="G176" s="173" t="s">
        <v>256</v>
      </c>
      <c r="H176" s="173" t="s">
        <v>943</v>
      </c>
      <c r="I176" s="173" t="s">
        <v>239</v>
      </c>
      <c r="J176" s="173" t="s">
        <v>944</v>
      </c>
      <c r="K176" s="173" t="s">
        <v>945</v>
      </c>
      <c r="L176" s="173" t="s">
        <v>368</v>
      </c>
      <c r="M176" s="165">
        <v>12416</v>
      </c>
      <c r="N176" s="205" t="s">
        <v>946</v>
      </c>
      <c r="O176" s="193">
        <f t="shared" si="40"/>
        <v>12416</v>
      </c>
      <c r="P176" s="194">
        <f t="shared" si="41"/>
        <v>1</v>
      </c>
      <c r="Q176" s="224">
        <f t="shared" si="42"/>
        <v>12416</v>
      </c>
      <c r="R176" s="225">
        <f t="shared" si="43"/>
        <v>1</v>
      </c>
      <c r="S176" s="236"/>
      <c r="T176" s="173"/>
      <c r="U176" s="173"/>
      <c r="V176" s="173"/>
      <c r="W176" s="173"/>
      <c r="X176" s="173"/>
      <c r="Y176" s="173"/>
      <c r="Z176" s="173"/>
      <c r="AA176" s="173"/>
      <c r="AB176" s="173"/>
      <c r="AC176" s="173"/>
      <c r="AD176" s="173"/>
      <c r="AE176" s="173"/>
      <c r="AF176" s="173"/>
      <c r="AG176" s="173"/>
      <c r="AH176" s="173"/>
      <c r="AI176" s="173"/>
      <c r="AJ176" s="173"/>
      <c r="AK176" s="173"/>
      <c r="AL176" s="173"/>
      <c r="AM176" s="173"/>
      <c r="AN176" s="173"/>
      <c r="AO176" s="173">
        <v>12416</v>
      </c>
      <c r="AP176" s="173">
        <v>12416</v>
      </c>
      <c r="AQ176" s="173"/>
      <c r="AR176" s="173"/>
      <c r="AS176" s="173"/>
      <c r="AT176" s="173"/>
      <c r="AU176" s="173"/>
      <c r="AV176" s="173"/>
      <c r="AW176" s="173"/>
      <c r="AX176" s="173"/>
      <c r="AY176" s="173"/>
      <c r="AZ176" s="173"/>
      <c r="BA176" s="173"/>
      <c r="BB176" s="173"/>
      <c r="BC176" s="173"/>
      <c r="BD176" s="173"/>
      <c r="BE176" s="173"/>
      <c r="BF176" s="173"/>
      <c r="BG176" s="173"/>
      <c r="BH176" s="173"/>
      <c r="BI176" s="173"/>
      <c r="BJ176" s="173"/>
      <c r="BK176" s="173"/>
      <c r="BL176" s="173"/>
      <c r="BM176" s="173"/>
      <c r="BN176" s="173"/>
      <c r="BO176" s="173"/>
    </row>
    <row r="177" s="142" customFormat="1" spans="1:67">
      <c r="A177" s="184">
        <v>5</v>
      </c>
      <c r="B177" s="173" t="s">
        <v>230</v>
      </c>
      <c r="C177" s="173" t="s">
        <v>947</v>
      </c>
      <c r="D177" s="173" t="s">
        <v>124</v>
      </c>
      <c r="E177" s="165">
        <v>245</v>
      </c>
      <c r="F177" s="173" t="s">
        <v>637</v>
      </c>
      <c r="G177" s="173" t="s">
        <v>638</v>
      </c>
      <c r="H177" s="173" t="s">
        <v>948</v>
      </c>
      <c r="I177" s="173" t="s">
        <v>949</v>
      </c>
      <c r="J177" s="173" t="s">
        <v>947</v>
      </c>
      <c r="K177" s="173" t="s">
        <v>950</v>
      </c>
      <c r="L177" s="173" t="s">
        <v>368</v>
      </c>
      <c r="M177" s="165">
        <v>1900</v>
      </c>
      <c r="N177" s="205" t="s">
        <v>688</v>
      </c>
      <c r="O177" s="193">
        <f t="shared" si="40"/>
        <v>1900</v>
      </c>
      <c r="P177" s="194">
        <f t="shared" si="41"/>
        <v>1</v>
      </c>
      <c r="Q177" s="224">
        <f t="shared" si="42"/>
        <v>1900</v>
      </c>
      <c r="R177" s="225">
        <f t="shared" si="43"/>
        <v>1</v>
      </c>
      <c r="S177" s="236"/>
      <c r="T177" s="173"/>
      <c r="U177" s="173"/>
      <c r="V177" s="173"/>
      <c r="W177" s="173"/>
      <c r="X177" s="173"/>
      <c r="Y177" s="173"/>
      <c r="Z177" s="173"/>
      <c r="AA177" s="173"/>
      <c r="AB177" s="173"/>
      <c r="AC177" s="173"/>
      <c r="AD177" s="173"/>
      <c r="AE177" s="173"/>
      <c r="AF177" s="173"/>
      <c r="AG177" s="173"/>
      <c r="AH177" s="173"/>
      <c r="AI177" s="173"/>
      <c r="AJ177" s="173"/>
      <c r="AK177" s="173"/>
      <c r="AL177" s="173"/>
      <c r="AM177" s="173"/>
      <c r="AN177" s="173"/>
      <c r="AO177" s="173">
        <v>1900</v>
      </c>
      <c r="AP177" s="173"/>
      <c r="AQ177" s="173"/>
      <c r="AR177" s="173">
        <v>1900</v>
      </c>
      <c r="AS177" s="173"/>
      <c r="AT177" s="173"/>
      <c r="AU177" s="173"/>
      <c r="AV177" s="173"/>
      <c r="AW177" s="173"/>
      <c r="AX177" s="173"/>
      <c r="AY177" s="173"/>
      <c r="AZ177" s="173"/>
      <c r="BA177" s="173"/>
      <c r="BB177" s="173"/>
      <c r="BC177" s="173"/>
      <c r="BD177" s="173"/>
      <c r="BE177" s="173"/>
      <c r="BF177" s="173"/>
      <c r="BG177" s="173"/>
      <c r="BH177" s="173"/>
      <c r="BI177" s="173"/>
      <c r="BJ177" s="173"/>
      <c r="BK177" s="173"/>
      <c r="BL177" s="173"/>
      <c r="BM177" s="173"/>
      <c r="BN177" s="173"/>
      <c r="BO177" s="173"/>
    </row>
    <row r="178" s="142" customFormat="1" spans="1:67">
      <c r="A178" s="184">
        <v>6</v>
      </c>
      <c r="B178" s="173" t="s">
        <v>230</v>
      </c>
      <c r="C178" s="173" t="s">
        <v>951</v>
      </c>
      <c r="D178" s="173"/>
      <c r="E178" s="165" t="s">
        <v>136</v>
      </c>
      <c r="F178" s="173" t="s">
        <v>463</v>
      </c>
      <c r="G178" s="173" t="s">
        <v>849</v>
      </c>
      <c r="H178" s="173" t="s">
        <v>952</v>
      </c>
      <c r="I178" s="173" t="s">
        <v>953</v>
      </c>
      <c r="J178" s="173" t="s">
        <v>951</v>
      </c>
      <c r="K178" s="173" t="s">
        <v>932</v>
      </c>
      <c r="L178" s="173" t="s">
        <v>368</v>
      </c>
      <c r="M178" s="165">
        <v>6350</v>
      </c>
      <c r="N178" s="205" t="s">
        <v>688</v>
      </c>
      <c r="O178" s="193">
        <f t="shared" si="40"/>
        <v>6667.5</v>
      </c>
      <c r="P178" s="194">
        <f t="shared" si="41"/>
        <v>1.05</v>
      </c>
      <c r="Q178" s="224">
        <f t="shared" si="42"/>
        <v>6350</v>
      </c>
      <c r="R178" s="225">
        <f t="shared" si="43"/>
        <v>1</v>
      </c>
      <c r="S178" s="236"/>
      <c r="T178" s="173"/>
      <c r="U178" s="173"/>
      <c r="V178" s="173"/>
      <c r="W178" s="173"/>
      <c r="X178" s="173"/>
      <c r="Y178" s="173"/>
      <c r="Z178" s="173"/>
      <c r="AA178" s="173"/>
      <c r="AB178" s="173"/>
      <c r="AC178" s="173"/>
      <c r="AD178" s="173"/>
      <c r="AE178" s="173"/>
      <c r="AF178" s="173"/>
      <c r="AG178" s="173"/>
      <c r="AH178" s="173"/>
      <c r="AI178" s="173"/>
      <c r="AJ178" s="173"/>
      <c r="AK178" s="173"/>
      <c r="AL178" s="173"/>
      <c r="AM178" s="173"/>
      <c r="AN178" s="173"/>
      <c r="AO178" s="173"/>
      <c r="AP178" s="173"/>
      <c r="AQ178" s="173"/>
      <c r="AR178" s="173"/>
      <c r="AS178" s="173"/>
      <c r="AT178" s="173"/>
      <c r="AU178" s="173">
        <v>6350</v>
      </c>
      <c r="AV178" s="173">
        <v>6032.5</v>
      </c>
      <c r="AW178" s="173">
        <v>317.5</v>
      </c>
      <c r="AX178" s="173">
        <v>317.5</v>
      </c>
      <c r="AY178" s="173"/>
      <c r="AZ178" s="173"/>
      <c r="BA178" s="173"/>
      <c r="BB178" s="173"/>
      <c r="BC178" s="173"/>
      <c r="BD178" s="173"/>
      <c r="BE178" s="173"/>
      <c r="BF178" s="173"/>
      <c r="BG178" s="173"/>
      <c r="BH178" s="173"/>
      <c r="BI178" s="173"/>
      <c r="BJ178" s="173"/>
      <c r="BK178" s="173"/>
      <c r="BL178" s="173"/>
      <c r="BM178" s="173"/>
      <c r="BN178" s="173"/>
      <c r="BO178" s="173"/>
    </row>
    <row r="179" ht="33.75" spans="1:67">
      <c r="A179" s="243">
        <v>7</v>
      </c>
      <c r="B179" s="179" t="s">
        <v>689</v>
      </c>
      <c r="C179" s="179" t="s">
        <v>954</v>
      </c>
      <c r="D179" s="179" t="s">
        <v>955</v>
      </c>
      <c r="E179" s="180">
        <v>6000</v>
      </c>
      <c r="F179" s="230" t="s">
        <v>805</v>
      </c>
      <c r="G179" s="256" t="s">
        <v>160</v>
      </c>
      <c r="H179" s="257" t="s">
        <v>956</v>
      </c>
      <c r="I179" s="257" t="s">
        <v>957</v>
      </c>
      <c r="J179" s="264">
        <v>43454</v>
      </c>
      <c r="K179" s="264">
        <v>43818</v>
      </c>
      <c r="L179" s="265" t="s">
        <v>958</v>
      </c>
      <c r="M179" s="257">
        <v>35000</v>
      </c>
      <c r="N179" s="256" t="s">
        <v>959</v>
      </c>
      <c r="O179" s="211">
        <f t="shared" si="40"/>
        <v>35000</v>
      </c>
      <c r="P179" s="212">
        <f t="shared" si="41"/>
        <v>1</v>
      </c>
      <c r="Q179" s="237">
        <f t="shared" si="42"/>
        <v>17500</v>
      </c>
      <c r="R179" s="238">
        <f t="shared" si="43"/>
        <v>0.5</v>
      </c>
      <c r="S179" s="239"/>
      <c r="T179" s="179"/>
      <c r="U179" s="179"/>
      <c r="V179" s="179"/>
      <c r="W179" s="179"/>
      <c r="X179" s="179">
        <v>17500</v>
      </c>
      <c r="Y179" s="179"/>
      <c r="Z179" s="179"/>
      <c r="AA179" s="179"/>
      <c r="AB179" s="179"/>
      <c r="AC179" s="179"/>
      <c r="AD179" s="179"/>
      <c r="AE179" s="179"/>
      <c r="AF179" s="179"/>
      <c r="AG179" s="179"/>
      <c r="AH179" s="179"/>
      <c r="AI179" s="179"/>
      <c r="AJ179" s="179"/>
      <c r="AK179" s="179"/>
      <c r="AL179" s="179"/>
      <c r="AM179" s="179"/>
      <c r="AN179" s="179"/>
      <c r="AO179" s="179"/>
      <c r="AP179" s="179"/>
      <c r="AQ179" s="179"/>
      <c r="AR179" s="179"/>
      <c r="AS179" s="179"/>
      <c r="AT179" s="179"/>
      <c r="AU179" s="179"/>
      <c r="AV179" s="179"/>
      <c r="AW179" s="179"/>
      <c r="AX179" s="179"/>
      <c r="AY179" s="179"/>
      <c r="AZ179" s="179"/>
      <c r="BA179" s="179"/>
      <c r="BB179" s="179"/>
      <c r="BC179" s="179"/>
      <c r="BD179" s="179"/>
      <c r="BE179" s="179"/>
      <c r="BF179" s="179"/>
      <c r="BG179" s="179"/>
      <c r="BH179" s="179"/>
      <c r="BI179" s="179"/>
      <c r="BJ179" s="179"/>
      <c r="BK179" s="179"/>
      <c r="BL179" s="179"/>
      <c r="BM179" s="179">
        <v>35000</v>
      </c>
      <c r="BN179" s="179"/>
      <c r="BO179" s="179"/>
    </row>
    <row r="180" s="142" customFormat="1" spans="1:67">
      <c r="A180" s="184">
        <v>8</v>
      </c>
      <c r="B180" s="173" t="s">
        <v>960</v>
      </c>
      <c r="C180" s="173" t="s">
        <v>961</v>
      </c>
      <c r="D180" s="173" t="s">
        <v>962</v>
      </c>
      <c r="E180" s="165">
        <v>1000</v>
      </c>
      <c r="F180" s="173" t="s">
        <v>963</v>
      </c>
      <c r="G180" s="173" t="s">
        <v>964</v>
      </c>
      <c r="H180" s="173"/>
      <c r="I180" s="173" t="s">
        <v>965</v>
      </c>
      <c r="J180" s="173" t="s">
        <v>961</v>
      </c>
      <c r="K180" s="173" t="s">
        <v>944</v>
      </c>
      <c r="L180" s="173" t="s">
        <v>252</v>
      </c>
      <c r="M180" s="165">
        <v>4200</v>
      </c>
      <c r="N180" s="205" t="s">
        <v>966</v>
      </c>
      <c r="O180" s="193">
        <f t="shared" si="40"/>
        <v>4200</v>
      </c>
      <c r="P180" s="194">
        <f t="shared" si="41"/>
        <v>1</v>
      </c>
      <c r="Q180" s="224">
        <f t="shared" si="42"/>
        <v>4200</v>
      </c>
      <c r="R180" s="225">
        <f t="shared" si="43"/>
        <v>1</v>
      </c>
      <c r="S180" s="236"/>
      <c r="T180" s="173"/>
      <c r="U180" s="173"/>
      <c r="V180" s="173"/>
      <c r="W180" s="173"/>
      <c r="X180" s="173"/>
      <c r="Y180" s="173"/>
      <c r="Z180" s="173"/>
      <c r="AA180" s="173"/>
      <c r="AB180" s="173"/>
      <c r="AC180" s="173"/>
      <c r="AD180" s="173"/>
      <c r="AE180" s="173"/>
      <c r="AF180" s="173"/>
      <c r="AG180" s="173"/>
      <c r="AH180" s="173"/>
      <c r="AI180" s="173"/>
      <c r="AJ180" s="173"/>
      <c r="AK180" s="173">
        <v>4200</v>
      </c>
      <c r="AL180" s="173"/>
      <c r="AM180" s="173"/>
      <c r="AN180" s="173">
        <v>4200</v>
      </c>
      <c r="AO180" s="173"/>
      <c r="AP180" s="173"/>
      <c r="AQ180" s="173"/>
      <c r="AR180" s="173"/>
      <c r="AS180" s="173"/>
      <c r="AT180" s="173"/>
      <c r="AU180" s="173"/>
      <c r="AV180" s="173"/>
      <c r="AW180" s="173"/>
      <c r="AX180" s="173"/>
      <c r="AY180" s="173"/>
      <c r="AZ180" s="173"/>
      <c r="BA180" s="173"/>
      <c r="BB180" s="173"/>
      <c r="BC180" s="173"/>
      <c r="BD180" s="173"/>
      <c r="BE180" s="173"/>
      <c r="BF180" s="173"/>
      <c r="BG180" s="173"/>
      <c r="BH180" s="173"/>
      <c r="BI180" s="173"/>
      <c r="BJ180" s="173"/>
      <c r="BK180" s="173"/>
      <c r="BL180" s="173"/>
      <c r="BM180" s="173"/>
      <c r="BN180" s="173"/>
      <c r="BO180" s="173"/>
    </row>
    <row r="181" spans="1:67">
      <c r="A181" s="174" t="s">
        <v>55</v>
      </c>
      <c r="B181" s="175"/>
      <c r="C181" s="175"/>
      <c r="D181" s="175"/>
      <c r="E181" s="176"/>
      <c r="F181" s="175"/>
      <c r="G181" s="175"/>
      <c r="H181" s="175"/>
      <c r="I181" s="175"/>
      <c r="J181" s="175"/>
      <c r="K181" s="175"/>
      <c r="L181" s="175"/>
      <c r="M181" s="176">
        <f>SUM(M173:M180)</f>
        <v>1721866</v>
      </c>
      <c r="N181" s="207"/>
      <c r="O181" s="208">
        <f>SUM(O173:O180)</f>
        <v>60183.5</v>
      </c>
      <c r="P181" s="209">
        <f t="shared" si="41"/>
        <v>0.0349524875919497</v>
      </c>
      <c r="Q181" s="208">
        <f>SUM(Q173:Q180)</f>
        <v>88366</v>
      </c>
      <c r="R181" s="234">
        <f t="shared" si="43"/>
        <v>0.0513199052655665</v>
      </c>
      <c r="S181" s="235"/>
      <c r="T181" s="175"/>
      <c r="U181" s="175"/>
      <c r="V181" s="175"/>
      <c r="W181" s="175"/>
      <c r="X181" s="175"/>
      <c r="Y181" s="175"/>
      <c r="Z181" s="175"/>
      <c r="AA181" s="175"/>
      <c r="AB181" s="175"/>
      <c r="AC181" s="175"/>
      <c r="AD181" s="175"/>
      <c r="AE181" s="175"/>
      <c r="AF181" s="175"/>
      <c r="AG181" s="175"/>
      <c r="AH181" s="175"/>
      <c r="AI181" s="175"/>
      <c r="AJ181" s="175"/>
      <c r="AK181" s="175"/>
      <c r="AL181" s="175"/>
      <c r="AM181" s="175"/>
      <c r="AN181" s="175"/>
      <c r="AO181" s="175"/>
      <c r="AP181" s="175"/>
      <c r="AQ181" s="175"/>
      <c r="AR181" s="175"/>
      <c r="AS181" s="175"/>
      <c r="AT181" s="175"/>
      <c r="AU181" s="175"/>
      <c r="AV181" s="175"/>
      <c r="AW181" s="175"/>
      <c r="AX181" s="175"/>
      <c r="AY181" s="175"/>
      <c r="AZ181" s="175"/>
      <c r="BA181" s="175"/>
      <c r="BB181" s="175"/>
      <c r="BC181" s="175"/>
      <c r="BD181" s="175"/>
      <c r="BE181" s="175"/>
      <c r="BF181" s="175"/>
      <c r="BG181" s="175"/>
      <c r="BH181" s="175"/>
      <c r="BI181" s="175"/>
      <c r="BJ181" s="175"/>
      <c r="BK181" s="175"/>
      <c r="BL181" s="175"/>
      <c r="BM181" s="175"/>
      <c r="BN181" s="175"/>
      <c r="BO181" s="179"/>
    </row>
    <row r="182" ht="12" spans="1:67">
      <c r="A182" s="174" t="s">
        <v>967</v>
      </c>
      <c r="B182" s="175"/>
      <c r="C182" s="175"/>
      <c r="D182" s="175"/>
      <c r="E182" s="176"/>
      <c r="F182" s="175"/>
      <c r="G182" s="175"/>
      <c r="H182" s="175"/>
      <c r="I182" s="175"/>
      <c r="J182" s="175"/>
      <c r="K182" s="175"/>
      <c r="L182" s="175"/>
      <c r="M182" s="176">
        <f>M172+M181</f>
        <v>20266923.41</v>
      </c>
      <c r="N182" s="207"/>
      <c r="O182" s="208">
        <f>O172+O181</f>
        <v>8814805.1</v>
      </c>
      <c r="P182" s="209">
        <f t="shared" si="41"/>
        <v>0.434935531243516</v>
      </c>
      <c r="Q182" s="208">
        <f>Q172+Q181</f>
        <v>7904469.06</v>
      </c>
      <c r="R182" s="234">
        <f t="shared" si="43"/>
        <v>0.390018203557222</v>
      </c>
      <c r="S182" s="235"/>
      <c r="T182" s="175"/>
      <c r="U182" s="175"/>
      <c r="V182" s="175"/>
      <c r="W182" s="175"/>
      <c r="X182" s="175"/>
      <c r="Y182" s="175"/>
      <c r="Z182" s="175"/>
      <c r="AA182" s="175"/>
      <c r="AB182" s="175"/>
      <c r="AC182" s="175"/>
      <c r="AD182" s="175"/>
      <c r="AE182" s="175"/>
      <c r="AF182" s="175"/>
      <c r="AG182" s="175"/>
      <c r="AH182" s="175"/>
      <c r="AI182" s="175"/>
      <c r="AJ182" s="175"/>
      <c r="AK182" s="175"/>
      <c r="AL182" s="175"/>
      <c r="AM182" s="175"/>
      <c r="AN182" s="175"/>
      <c r="AO182" s="175"/>
      <c r="AP182" s="175"/>
      <c r="AQ182" s="175"/>
      <c r="AR182" s="175"/>
      <c r="AS182" s="175"/>
      <c r="AT182" s="175"/>
      <c r="AU182" s="175"/>
      <c r="AV182" s="175"/>
      <c r="AW182" s="175"/>
      <c r="AX182" s="175"/>
      <c r="AY182" s="175"/>
      <c r="AZ182" s="175"/>
      <c r="BA182" s="175"/>
      <c r="BB182" s="175"/>
      <c r="BC182" s="175"/>
      <c r="BD182" s="175"/>
      <c r="BE182" s="175"/>
      <c r="BF182" s="175"/>
      <c r="BG182" s="175"/>
      <c r="BH182" s="175"/>
      <c r="BI182" s="175"/>
      <c r="BJ182" s="175"/>
      <c r="BK182" s="175"/>
      <c r="BL182" s="175"/>
      <c r="BM182" s="175"/>
      <c r="BN182" s="175"/>
      <c r="BO182" s="179"/>
    </row>
    <row r="183" ht="12" spans="1:67">
      <c r="A183" s="258" t="s">
        <v>57</v>
      </c>
      <c r="B183" s="259"/>
      <c r="C183" s="259"/>
      <c r="D183" s="259"/>
      <c r="E183" s="260"/>
      <c r="F183" s="259"/>
      <c r="G183" s="259"/>
      <c r="H183" s="259"/>
      <c r="I183" s="259"/>
      <c r="J183" s="259"/>
      <c r="K183" s="259"/>
      <c r="L183" s="259"/>
      <c r="M183" s="260">
        <f>M182</f>
        <v>20266923.41</v>
      </c>
      <c r="N183" s="266"/>
      <c r="O183" s="267">
        <f>O182</f>
        <v>8814805.1</v>
      </c>
      <c r="P183" s="268">
        <f>P182</f>
        <v>0.434935531243516</v>
      </c>
      <c r="Q183" s="259">
        <f>Q182</f>
        <v>7904469.06</v>
      </c>
      <c r="R183" s="268">
        <f>R182</f>
        <v>0.390018203557222</v>
      </c>
      <c r="S183" s="259">
        <f>S182</f>
        <v>0</v>
      </c>
      <c r="T183" s="259">
        <f t="shared" ref="T183:BN183" si="44">T182</f>
        <v>0</v>
      </c>
      <c r="U183" s="259">
        <f t="shared" si="44"/>
        <v>0</v>
      </c>
      <c r="V183" s="259">
        <f t="shared" si="44"/>
        <v>0</v>
      </c>
      <c r="W183" s="259">
        <f t="shared" si="44"/>
        <v>0</v>
      </c>
      <c r="X183" s="259">
        <f t="shared" si="44"/>
        <v>0</v>
      </c>
      <c r="Y183" s="259">
        <f t="shared" si="44"/>
        <v>0</v>
      </c>
      <c r="Z183" s="259">
        <f t="shared" si="44"/>
        <v>0</v>
      </c>
      <c r="AA183" s="259">
        <f t="shared" si="44"/>
        <v>0</v>
      </c>
      <c r="AB183" s="259">
        <f t="shared" si="44"/>
        <v>0</v>
      </c>
      <c r="AC183" s="259">
        <f t="shared" si="44"/>
        <v>0</v>
      </c>
      <c r="AD183" s="259">
        <f t="shared" si="44"/>
        <v>0</v>
      </c>
      <c r="AE183" s="259">
        <f t="shared" si="44"/>
        <v>0</v>
      </c>
      <c r="AF183" s="259">
        <f t="shared" si="44"/>
        <v>0</v>
      </c>
      <c r="AG183" s="259">
        <f t="shared" si="44"/>
        <v>0</v>
      </c>
      <c r="AH183" s="259">
        <f t="shared" si="44"/>
        <v>0</v>
      </c>
      <c r="AI183" s="259">
        <f t="shared" si="44"/>
        <v>0</v>
      </c>
      <c r="AJ183" s="259">
        <f t="shared" si="44"/>
        <v>0</v>
      </c>
      <c r="AK183" s="259">
        <f t="shared" si="44"/>
        <v>0</v>
      </c>
      <c r="AL183" s="259">
        <f t="shared" si="44"/>
        <v>0</v>
      </c>
      <c r="AM183" s="259">
        <f t="shared" si="44"/>
        <v>0</v>
      </c>
      <c r="AN183" s="259">
        <f t="shared" si="44"/>
        <v>0</v>
      </c>
      <c r="AO183" s="259">
        <f t="shared" si="44"/>
        <v>0</v>
      </c>
      <c r="AP183" s="259">
        <f t="shared" si="44"/>
        <v>0</v>
      </c>
      <c r="AQ183" s="259">
        <f t="shared" si="44"/>
        <v>0</v>
      </c>
      <c r="AR183" s="259">
        <f t="shared" si="44"/>
        <v>0</v>
      </c>
      <c r="AS183" s="259">
        <f t="shared" si="44"/>
        <v>0</v>
      </c>
      <c r="AT183" s="259">
        <f t="shared" si="44"/>
        <v>0</v>
      </c>
      <c r="AU183" s="259">
        <f t="shared" si="44"/>
        <v>0</v>
      </c>
      <c r="AV183" s="259">
        <f t="shared" si="44"/>
        <v>0</v>
      </c>
      <c r="AW183" s="259">
        <f t="shared" si="44"/>
        <v>0</v>
      </c>
      <c r="AX183" s="259">
        <f t="shared" si="44"/>
        <v>0</v>
      </c>
      <c r="AY183" s="259">
        <f t="shared" si="44"/>
        <v>0</v>
      </c>
      <c r="AZ183" s="259">
        <f t="shared" si="44"/>
        <v>0</v>
      </c>
      <c r="BA183" s="259">
        <f t="shared" si="44"/>
        <v>0</v>
      </c>
      <c r="BB183" s="259">
        <f t="shared" si="44"/>
        <v>0</v>
      </c>
      <c r="BC183" s="259">
        <f t="shared" si="44"/>
        <v>0</v>
      </c>
      <c r="BD183" s="259">
        <f t="shared" si="44"/>
        <v>0</v>
      </c>
      <c r="BE183" s="259">
        <f t="shared" si="44"/>
        <v>0</v>
      </c>
      <c r="BF183" s="259">
        <f t="shared" si="44"/>
        <v>0</v>
      </c>
      <c r="BG183" s="259">
        <f t="shared" si="44"/>
        <v>0</v>
      </c>
      <c r="BH183" s="259">
        <f t="shared" si="44"/>
        <v>0</v>
      </c>
      <c r="BI183" s="259">
        <f t="shared" si="44"/>
        <v>0</v>
      </c>
      <c r="BJ183" s="259">
        <f t="shared" si="44"/>
        <v>0</v>
      </c>
      <c r="BK183" s="259">
        <f t="shared" si="44"/>
        <v>0</v>
      </c>
      <c r="BL183" s="259">
        <f t="shared" si="44"/>
        <v>0</v>
      </c>
      <c r="BM183" s="259">
        <f t="shared" si="44"/>
        <v>0</v>
      </c>
      <c r="BN183" s="259">
        <f t="shared" si="44"/>
        <v>0</v>
      </c>
      <c r="BO183" s="239"/>
    </row>
    <row r="184" spans="15:18">
      <c r="O184" s="269"/>
      <c r="P184" s="269"/>
      <c r="Q184" s="269"/>
      <c r="R184" s="269"/>
    </row>
  </sheetData>
  <autoFilter ref="A5:BQ183">
    <extLst/>
  </autoFilter>
  <mergeCells count="41">
    <mergeCell ref="B2:N2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M70:M71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5" ySplit="3" topLeftCell="G4" activePane="bottomRight" state="frozen"/>
      <selection/>
      <selection pane="topRight"/>
      <selection pane="bottomLeft"/>
      <selection pane="bottomRight" activeCell="T10" sqref="T10"/>
    </sheetView>
  </sheetViews>
  <sheetFormatPr defaultColWidth="9" defaultRowHeight="13.5"/>
  <cols>
    <col min="6" max="6" width="13.625" customWidth="1"/>
  </cols>
  <sheetData>
    <row r="1" s="104" customFormat="1" ht="22.5" spans="1:5">
      <c r="A1" s="105" t="s">
        <v>968</v>
      </c>
      <c r="B1" s="105"/>
      <c r="C1" s="105"/>
      <c r="D1" s="105"/>
      <c r="E1" s="105"/>
    </row>
    <row r="2" s="104" customFormat="1" ht="23.25" spans="1:5">
      <c r="A2" s="106"/>
      <c r="B2" s="105"/>
      <c r="C2" s="105"/>
      <c r="D2" s="105"/>
      <c r="E2" s="105"/>
    </row>
    <row r="3" s="104" customFormat="1" spans="1:53">
      <c r="A3" s="107" t="s">
        <v>969</v>
      </c>
      <c r="B3" s="108" t="s">
        <v>67</v>
      </c>
      <c r="C3" s="108" t="s">
        <v>69</v>
      </c>
      <c r="D3" s="108" t="s">
        <v>6</v>
      </c>
      <c r="E3" s="109" t="s">
        <v>72</v>
      </c>
      <c r="F3" s="110">
        <v>43101</v>
      </c>
      <c r="G3" s="111"/>
      <c r="H3" s="111"/>
      <c r="I3" s="111"/>
      <c r="J3" s="111">
        <v>43132</v>
      </c>
      <c r="K3" s="111"/>
      <c r="L3" s="111"/>
      <c r="M3" s="111"/>
      <c r="N3" s="111">
        <v>43160</v>
      </c>
      <c r="O3" s="111"/>
      <c r="P3" s="111"/>
      <c r="Q3" s="111"/>
      <c r="R3" s="111">
        <v>43191</v>
      </c>
      <c r="S3" s="111"/>
      <c r="T3" s="111"/>
      <c r="U3" s="111"/>
      <c r="V3" s="111">
        <v>43221</v>
      </c>
      <c r="W3" s="111"/>
      <c r="X3" s="111"/>
      <c r="Y3" s="111"/>
      <c r="Z3" s="111">
        <v>43252</v>
      </c>
      <c r="AA3" s="111"/>
      <c r="AB3" s="111"/>
      <c r="AC3" s="111"/>
      <c r="AD3" s="111">
        <v>43282</v>
      </c>
      <c r="AE3" s="111"/>
      <c r="AF3" s="111"/>
      <c r="AG3" s="111"/>
      <c r="AH3" s="111">
        <v>43313</v>
      </c>
      <c r="AI3" s="111"/>
      <c r="AJ3" s="111"/>
      <c r="AK3" s="111"/>
      <c r="AL3" s="111">
        <v>43344</v>
      </c>
      <c r="AM3" s="111"/>
      <c r="AN3" s="111"/>
      <c r="AO3" s="111"/>
      <c r="AP3" s="111">
        <v>43374</v>
      </c>
      <c r="AQ3" s="111"/>
      <c r="AR3" s="111"/>
      <c r="AS3" s="111"/>
      <c r="AT3" s="111">
        <v>43405</v>
      </c>
      <c r="AU3" s="111"/>
      <c r="AV3" s="111"/>
      <c r="AW3" s="111"/>
      <c r="AX3" s="111">
        <v>43435</v>
      </c>
      <c r="AY3" s="111"/>
      <c r="AZ3" s="111"/>
      <c r="BA3" s="129"/>
    </row>
    <row r="4" s="104" customFormat="1" ht="14.25" spans="1:53">
      <c r="A4" s="112"/>
      <c r="B4" s="113"/>
      <c r="C4" s="113"/>
      <c r="D4" s="113"/>
      <c r="E4" s="114"/>
      <c r="F4" s="115" t="s">
        <v>72</v>
      </c>
      <c r="G4" s="116" t="s">
        <v>970</v>
      </c>
      <c r="H4" s="116" t="s">
        <v>971</v>
      </c>
      <c r="I4" s="116" t="s">
        <v>972</v>
      </c>
      <c r="J4" s="116" t="s">
        <v>72</v>
      </c>
      <c r="K4" s="116" t="s">
        <v>970</v>
      </c>
      <c r="L4" s="116" t="s">
        <v>971</v>
      </c>
      <c r="M4" s="116" t="s">
        <v>972</v>
      </c>
      <c r="N4" s="116" t="s">
        <v>72</v>
      </c>
      <c r="O4" s="116" t="s">
        <v>970</v>
      </c>
      <c r="P4" s="116" t="s">
        <v>971</v>
      </c>
      <c r="Q4" s="116" t="s">
        <v>972</v>
      </c>
      <c r="R4" s="116" t="s">
        <v>72</v>
      </c>
      <c r="S4" s="116" t="s">
        <v>970</v>
      </c>
      <c r="T4" s="116" t="s">
        <v>971</v>
      </c>
      <c r="U4" s="116" t="s">
        <v>972</v>
      </c>
      <c r="V4" s="116" t="s">
        <v>72</v>
      </c>
      <c r="W4" s="116" t="s">
        <v>970</v>
      </c>
      <c r="X4" s="116" t="s">
        <v>971</v>
      </c>
      <c r="Y4" s="116" t="s">
        <v>972</v>
      </c>
      <c r="Z4" s="116" t="s">
        <v>72</v>
      </c>
      <c r="AA4" s="116" t="s">
        <v>970</v>
      </c>
      <c r="AB4" s="116" t="s">
        <v>971</v>
      </c>
      <c r="AC4" s="116" t="s">
        <v>972</v>
      </c>
      <c r="AD4" s="116" t="s">
        <v>72</v>
      </c>
      <c r="AE4" s="116" t="s">
        <v>970</v>
      </c>
      <c r="AF4" s="116" t="s">
        <v>971</v>
      </c>
      <c r="AG4" s="116" t="s">
        <v>972</v>
      </c>
      <c r="AH4" s="116" t="s">
        <v>72</v>
      </c>
      <c r="AI4" s="116" t="s">
        <v>970</v>
      </c>
      <c r="AJ4" s="116" t="s">
        <v>971</v>
      </c>
      <c r="AK4" s="116" t="s">
        <v>972</v>
      </c>
      <c r="AL4" s="116" t="s">
        <v>72</v>
      </c>
      <c r="AM4" s="116" t="s">
        <v>970</v>
      </c>
      <c r="AN4" s="116" t="s">
        <v>971</v>
      </c>
      <c r="AO4" s="116" t="s">
        <v>972</v>
      </c>
      <c r="AP4" s="116" t="s">
        <v>72</v>
      </c>
      <c r="AQ4" s="116" t="s">
        <v>970</v>
      </c>
      <c r="AR4" s="116" t="s">
        <v>971</v>
      </c>
      <c r="AS4" s="116" t="s">
        <v>972</v>
      </c>
      <c r="AT4" s="116" t="s">
        <v>72</v>
      </c>
      <c r="AU4" s="116" t="s">
        <v>970</v>
      </c>
      <c r="AV4" s="116" t="s">
        <v>971</v>
      </c>
      <c r="AW4" s="116" t="s">
        <v>972</v>
      </c>
      <c r="AX4" s="116" t="s">
        <v>72</v>
      </c>
      <c r="AY4" s="116" t="s">
        <v>970</v>
      </c>
      <c r="AZ4" s="116" t="s">
        <v>971</v>
      </c>
      <c r="BA4" s="130" t="s">
        <v>972</v>
      </c>
    </row>
    <row r="5" s="104" customFormat="1" ht="14.25" spans="1:53">
      <c r="A5" s="117">
        <v>1</v>
      </c>
      <c r="B5" s="118" t="str">
        <f>'18年合同登记表'!F6</f>
        <v>乔治费歇尔</v>
      </c>
      <c r="C5" s="119" t="str">
        <f>'18年合同登记表'!H6</f>
        <v>NHS-20171129-KF-01-01-008</v>
      </c>
      <c r="D5" s="119" t="str">
        <f>'18年合同登记表'!I6</f>
        <v>乔治费歇尔螺杆机年度技术服务</v>
      </c>
      <c r="E5" s="120" t="str">
        <f>'18年合同登记表'!L6</f>
        <v>兰健</v>
      </c>
      <c r="F5" s="121">
        <f>客服部最终提成计算表!$X6*0.15*0.8*0.85*'18年合同登记表'!T6/'18年合同登记表'!$M6</f>
        <v>896.3148</v>
      </c>
      <c r="G5" s="122">
        <f>客服部最终提成计算表!$X6*0.15*0.8*0.08*'18年合同登记表'!T6/'18年合同登记表'!$M6</f>
        <v>84.35904</v>
      </c>
      <c r="H5" s="122">
        <f>客服部最终提成计算表!$X6*0.15*0.8*0.05*'18年合同登记表'!T6/'18年合同登记表'!$M6</f>
        <v>52.7244</v>
      </c>
      <c r="I5" s="122">
        <f>客服部最终提成计算表!$X6*0.15*0.8*0.02*'18年合同登记表'!T6/'18年合同登记表'!$M6</f>
        <v>21.08976</v>
      </c>
      <c r="J5" s="122">
        <f>客服部最终提成计算表!$X6*0.15*0.8*0.85*'18年合同登记表'!V6/'18年合同登记表'!$M6</f>
        <v>717.05184</v>
      </c>
      <c r="K5" s="122">
        <f>客服部最终提成计算表!$X6*0.15*0.8*0.08*'18年合同登记表'!V6/'18年合同登记表'!$M6</f>
        <v>67.487232</v>
      </c>
      <c r="L5" s="122">
        <f>客服部最终提成计算表!$X6*0.15*0.8*0.05*'18年合同登记表'!V6/'18年合同登记表'!$M6</f>
        <v>42.17952</v>
      </c>
      <c r="M5" s="122">
        <f>客服部最终提成计算表!$X6*0.15*0.8*0.02*'18年合同登记表'!V6/'18年合同登记表'!$M6</f>
        <v>16.871808</v>
      </c>
      <c r="N5" s="122">
        <f>客服部最终提成计算表!$X6*0.15*0.8*0.85*'18年合同登记表'!X6/'18年合同登记表'!$M6</f>
        <v>0</v>
      </c>
      <c r="O5" s="122">
        <f>客服部最终提成计算表!$X6*0.15*0.8*0.08*'18年合同登记表'!X6/'18年合同登记表'!$M6</f>
        <v>0</v>
      </c>
      <c r="P5" s="122">
        <f>客服部最终提成计算表!$X6*0.15*0.8*0.05*'18年合同登记表'!X6/'18年合同登记表'!$M6</f>
        <v>0</v>
      </c>
      <c r="Q5" s="122">
        <f>客服部最终提成计算表!$X6*0.15*0.8*0.02*'18年合同登记表'!X6/'18年合同登记表'!$M6</f>
        <v>0</v>
      </c>
      <c r="R5" s="122">
        <f>客服部最终提成计算表!$X6*0.15*0.8*0.85*'18年合同登记表'!Z6/'18年合同登记表'!$M6</f>
        <v>0</v>
      </c>
      <c r="S5" s="122">
        <f>客服部最终提成计算表!$X6*0.15*0.8*0.08*'18年合同登记表'!Z6/'18年合同登记表'!$M6</f>
        <v>0</v>
      </c>
      <c r="T5" s="122">
        <f>客服部最终提成计算表!$X6*0.15*0.8*0.05*'18年合同登记表'!Z6/'18年合同登记表'!$M6</f>
        <v>0</v>
      </c>
      <c r="U5" s="122">
        <f>客服部最终提成计算表!$X6*0.15*0.8*0.02*'18年合同登记表'!Z6/'18年合同登记表'!$M6</f>
        <v>0</v>
      </c>
      <c r="V5" s="122">
        <f>客服部最终提成计算表!$X6*0.15*0.8*0.85*'18年合同登记表'!AB6/'18年合同登记表'!$M6</f>
        <v>0</v>
      </c>
      <c r="W5" s="122">
        <f>客服部最终提成计算表!$X6*0.15*0.8*0.08*'18年合同登记表'!AB6/'18年合同登记表'!$M6</f>
        <v>0</v>
      </c>
      <c r="X5" s="122">
        <f>客服部最终提成计算表!$X6*0.15*0.8*0.05*'18年合同登记表'!AB6/'18年合同登记表'!$M6</f>
        <v>0</v>
      </c>
      <c r="Y5" s="122">
        <f>客服部最终提成计算表!$X6*0.15*0.8*0.02*'18年合同登记表'!AB6/'18年合同登记表'!$M6</f>
        <v>0</v>
      </c>
      <c r="Z5" s="122">
        <f>客服部最终提成计算表!$X6*0.15*0.8*0.85*'18年合同登记表'!AD6/'18年合同登记表'!$M6</f>
        <v>0</v>
      </c>
      <c r="AA5" s="122">
        <f>客服部最终提成计算表!$X6*0.15*0.8*0.08*'18年合同登记表'!AD6/'18年合同登记表'!$M6</f>
        <v>0</v>
      </c>
      <c r="AB5" s="122">
        <f>客服部最终提成计算表!$X6*0.15*0.8*0.05*'18年合同登记表'!AD6/'18年合同登记表'!$M6</f>
        <v>0</v>
      </c>
      <c r="AC5" s="122">
        <f>客服部最终提成计算表!$X6*0.15*0.8*0.02*'18年合同登记表'!AD6/'18年合同登记表'!$M6</f>
        <v>0</v>
      </c>
      <c r="AD5" s="122">
        <f>客服部最终提成计算表!$X6*0.15*0.8*0.85*'18年合同登记表'!AF6/'18年合同登记表'!$M6</f>
        <v>0</v>
      </c>
      <c r="AE5" s="122">
        <f>客服部最终提成计算表!$X6*0.15*0.8*0.08*'18年合同登记表'!AF6/'18年合同登记表'!$M6</f>
        <v>0</v>
      </c>
      <c r="AF5" s="122">
        <f>客服部最终提成计算表!$X6*0.15*0.8*0.05*'18年合同登记表'!AF6/'18年合同登记表'!$M6</f>
        <v>0</v>
      </c>
      <c r="AG5" s="122">
        <f>客服部最终提成计算表!$X6*0.15*0.8*0.02*'18年合同登记表'!AF6/'18年合同登记表'!$M6</f>
        <v>0</v>
      </c>
      <c r="AH5" s="122">
        <f>客服部最终提成计算表!$X6*0.15*0.8*0.85*'18年合同登记表'!AH6/'18年合同登记表'!$M6</f>
        <v>0</v>
      </c>
      <c r="AI5" s="122">
        <f>客服部最终提成计算表!$X6*0.15*0.8*0.08*'18年合同登记表'!AH6/'18年合同登记表'!$M6</f>
        <v>0</v>
      </c>
      <c r="AJ5" s="122">
        <f>客服部最终提成计算表!$X6*0.15*0.8*0.05*'18年合同登记表'!AH6/'18年合同登记表'!$M6</f>
        <v>0</v>
      </c>
      <c r="AK5" s="122">
        <f>客服部最终提成计算表!$X6*0.15*0.8*0.02*'18年合同登记表'!AH6/'18年合同登记表'!$M6</f>
        <v>0</v>
      </c>
      <c r="AL5" s="122">
        <f>客服部最终提成计算表!$X6*0.15*0.8*0.85*'18年合同登记表'!AJ6/'18年合同登记表'!$M6</f>
        <v>0</v>
      </c>
      <c r="AM5" s="122">
        <f>客服部最终提成计算表!$X6*0.15*0.8*0.08*'18年合同登记表'!AJ6/'18年合同登记表'!$M6</f>
        <v>0</v>
      </c>
      <c r="AN5" s="122">
        <f>客服部最终提成计算表!$X6*0.15*0.8*0.05*'18年合同登记表'!AJ6/'18年合同登记表'!$M6</f>
        <v>0</v>
      </c>
      <c r="AO5" s="122">
        <f>客服部最终提成计算表!$X6*0.15*0.8*0.02*'18年合同登记表'!AJ6/'18年合同登记表'!$M6</f>
        <v>0</v>
      </c>
      <c r="AP5" s="122">
        <f>客服部最终提成计算表!$X6*0.15*0.8*0.85*'18年合同登记表'!AL6/'18年合同登记表'!$M6</f>
        <v>0</v>
      </c>
      <c r="AQ5" s="122">
        <f>客服部最终提成计算表!$X6*0.15*0.8*0.08*'18年合同登记表'!AL6/'18年合同登记表'!$M6</f>
        <v>0</v>
      </c>
      <c r="AR5" s="122">
        <f>客服部最终提成计算表!$X6*0.15*0.8*0.05*'18年合同登记表'!AL6/'18年合同登记表'!$M6</f>
        <v>0</v>
      </c>
      <c r="AS5" s="122">
        <f>客服部最终提成计算表!$X6*0.15*0.8*0.02*'18年合同登记表'!AL6/'18年合同登记表'!$M6</f>
        <v>0</v>
      </c>
      <c r="AT5" s="122">
        <f>客服部最终提成计算表!$X6*0.15*0.8*0.85*'18年合同登记表'!AN6/'18年合同登记表'!$M6</f>
        <v>0</v>
      </c>
      <c r="AU5" s="122">
        <f>客服部最终提成计算表!$X6*0.15*0.8*0.08*'18年合同登记表'!AN6/'18年合同登记表'!$M6</f>
        <v>0</v>
      </c>
      <c r="AV5" s="122">
        <f>客服部最终提成计算表!$X6*0.15*0.8*0.05*'18年合同登记表'!AN6/'18年合同登记表'!$M6</f>
        <v>0</v>
      </c>
      <c r="AW5" s="122">
        <f>客服部最终提成计算表!$X6*0.15*0.8*0.02*'18年合同登记表'!AN6/'18年合同登记表'!$M6</f>
        <v>0</v>
      </c>
      <c r="AX5" s="122">
        <f>客服部最终提成计算表!$X6*0.15*0.8*0.85*'18年合同登记表'!AP6/'18年合同登记表'!$M6</f>
        <v>0</v>
      </c>
      <c r="AY5" s="122">
        <f>客服部最终提成计算表!$X6*0.15*0.8*0.08*'18年合同登记表'!AP6/'18年合同登记表'!$M6</f>
        <v>0</v>
      </c>
      <c r="AZ5" s="122">
        <f>客服部最终提成计算表!$X6*0.15*0.8*0.05*'18年合同登记表'!AP6/'18年合同登记表'!$M6</f>
        <v>0</v>
      </c>
      <c r="BA5" s="131">
        <f>客服部最终提成计算表!$X6*0.15*0.8*0.02*'18年合同登记表'!AP6/'18年合同登记表'!$M6</f>
        <v>0</v>
      </c>
    </row>
    <row r="6" s="104" customFormat="1" ht="14.25" spans="1:53">
      <c r="A6" s="117">
        <v>2</v>
      </c>
      <c r="B6" s="118" t="str">
        <f>'18年合同登记表'!F7</f>
        <v>新城国际</v>
      </c>
      <c r="C6" s="119" t="str">
        <f>'18年合同登记表'!H7</f>
        <v>NHS-20170925-Q-02-01-001</v>
      </c>
      <c r="D6" s="119" t="str">
        <f>'18年合同登记表'!I7</f>
        <v>空调维修改造</v>
      </c>
      <c r="E6" s="120" t="str">
        <f>'18年合同登记表'!L7</f>
        <v>尹虎</v>
      </c>
      <c r="F6" s="121">
        <f>客服部最终提成计算表!$X7*0.15*0.8*0.85*'18年合同登记表'!T7/'18年合同登记表'!$M7</f>
        <v>0</v>
      </c>
      <c r="G6" s="122">
        <f>客服部最终提成计算表!$X7*0.15*0.8*0.08*'18年合同登记表'!T7/'18年合同登记表'!$M7</f>
        <v>0</v>
      </c>
      <c r="H6" s="122">
        <f>客服部最终提成计算表!$X7*0.15*0.8*0.05*'18年合同登记表'!T7/'18年合同登记表'!$M7</f>
        <v>0</v>
      </c>
      <c r="I6" s="122">
        <f>客服部最终提成计算表!$X7*0.15*0.8*0.02*'18年合同登记表'!T7/'18年合同登记表'!$M7</f>
        <v>0</v>
      </c>
      <c r="J6" s="122">
        <f>客服部最终提成计算表!$X7*0.15*0.8*0.85*'18年合同登记表'!V7/'18年合同登记表'!$M7</f>
        <v>0</v>
      </c>
      <c r="K6" s="122">
        <f>客服部最终提成计算表!$X7*0.15*0.8*0.08*'18年合同登记表'!V7/'18年合同登记表'!$M7</f>
        <v>0</v>
      </c>
      <c r="L6" s="122">
        <f>客服部最终提成计算表!$X7*0.15*0.8*0.05*'18年合同登记表'!V7/'18年合同登记表'!$M7</f>
        <v>0</v>
      </c>
      <c r="M6" s="122">
        <f>客服部最终提成计算表!$X7*0.15*0.8*0.02*'18年合同登记表'!V7/'18年合同登记表'!$M7</f>
        <v>0</v>
      </c>
      <c r="N6" s="122">
        <f>客服部最终提成计算表!$X7*0.15*0.8*0.85*'18年合同登记表'!X7/'18年合同登记表'!$M7</f>
        <v>0</v>
      </c>
      <c r="O6" s="122">
        <f>客服部最终提成计算表!$X7*0.15*0.8*0.08*'18年合同登记表'!X7/'18年合同登记表'!$M7</f>
        <v>0</v>
      </c>
      <c r="P6" s="122">
        <f>客服部最终提成计算表!$X7*0.15*0.8*0.05*'18年合同登记表'!X7/'18年合同登记表'!$M7</f>
        <v>0</v>
      </c>
      <c r="Q6" s="122">
        <f>客服部最终提成计算表!$X7*0.15*0.8*0.02*'18年合同登记表'!X7/'18年合同登记表'!$M7</f>
        <v>0</v>
      </c>
      <c r="R6" s="122">
        <f>客服部最终提成计算表!$X7*0.15*0.8*0.85*'18年合同登记表'!Z7/'18年合同登记表'!$M7</f>
        <v>0</v>
      </c>
      <c r="S6" s="122">
        <f>客服部最终提成计算表!$X7*0.15*0.8*0.08*'18年合同登记表'!Z7/'18年合同登记表'!$M7</f>
        <v>0</v>
      </c>
      <c r="T6" s="122">
        <f>客服部最终提成计算表!$X7*0.15*0.8*0.05*'18年合同登记表'!Z7/'18年合同登记表'!$M7</f>
        <v>0</v>
      </c>
      <c r="U6" s="122">
        <f>客服部最终提成计算表!$X7*0.15*0.8*0.02*'18年合同登记表'!Z7/'18年合同登记表'!$M7</f>
        <v>0</v>
      </c>
      <c r="V6" s="122">
        <f>客服部最终提成计算表!$X7*0.15*0.8*0.85*'18年合同登记表'!AB7/'18年合同登记表'!$M7</f>
        <v>0</v>
      </c>
      <c r="W6" s="122">
        <f>客服部最终提成计算表!$X7*0.15*0.8*0.08*'18年合同登记表'!AB7/'18年合同登记表'!$M7</f>
        <v>0</v>
      </c>
      <c r="X6" s="122">
        <f>客服部最终提成计算表!$X7*0.15*0.8*0.05*'18年合同登记表'!AB7/'18年合同登记表'!$M7</f>
        <v>0</v>
      </c>
      <c r="Y6" s="122">
        <f>客服部最终提成计算表!$X7*0.15*0.8*0.02*'18年合同登记表'!AB7/'18年合同登记表'!$M7</f>
        <v>0</v>
      </c>
      <c r="Z6" s="122">
        <f>客服部最终提成计算表!$X7*0.15*0.8*0.85*'18年合同登记表'!AD7/'18年合同登记表'!$M7</f>
        <v>0</v>
      </c>
      <c r="AA6" s="122">
        <f>客服部最终提成计算表!$X7*0.15*0.8*0.08*'18年合同登记表'!AD7/'18年合同登记表'!$M7</f>
        <v>0</v>
      </c>
      <c r="AB6" s="122">
        <f>客服部最终提成计算表!$X7*0.15*0.8*0.05*'18年合同登记表'!AD7/'18年合同登记表'!$M7</f>
        <v>0</v>
      </c>
      <c r="AC6" s="122">
        <f>客服部最终提成计算表!$X7*0.15*0.8*0.02*'18年合同登记表'!AD7/'18年合同登记表'!$M7</f>
        <v>0</v>
      </c>
      <c r="AD6" s="122">
        <f>客服部最终提成计算表!$X7*0.15*0.8*0.85*'18年合同登记表'!AF7/'18年合同登记表'!$M7</f>
        <v>0</v>
      </c>
      <c r="AE6" s="122">
        <f>客服部最终提成计算表!$X7*0.15*0.8*0.08*'18年合同登记表'!AF7/'18年合同登记表'!$M7</f>
        <v>0</v>
      </c>
      <c r="AF6" s="122">
        <f>客服部最终提成计算表!$X7*0.15*0.8*0.05*'18年合同登记表'!AF7/'18年合同登记表'!$M7</f>
        <v>0</v>
      </c>
      <c r="AG6" s="122">
        <f>客服部最终提成计算表!$X7*0.15*0.8*0.02*'18年合同登记表'!AF7/'18年合同登记表'!$M7</f>
        <v>0</v>
      </c>
      <c r="AH6" s="122">
        <f>客服部最终提成计算表!$X7*0.15*0.8*0.85*'18年合同登记表'!AH7/'18年合同登记表'!$M7</f>
        <v>0</v>
      </c>
      <c r="AI6" s="122">
        <f>客服部最终提成计算表!$X7*0.15*0.8*0.08*'18年合同登记表'!AH7/'18年合同登记表'!$M7</f>
        <v>0</v>
      </c>
      <c r="AJ6" s="122">
        <f>客服部最终提成计算表!$X7*0.15*0.8*0.05*'18年合同登记表'!AH7/'18年合同登记表'!$M7</f>
        <v>0</v>
      </c>
      <c r="AK6" s="122">
        <f>客服部最终提成计算表!$X7*0.15*0.8*0.02*'18年合同登记表'!AH7/'18年合同登记表'!$M7</f>
        <v>0</v>
      </c>
      <c r="AL6" s="122">
        <f>客服部最终提成计算表!$X7*0.15*0.8*0.85*'18年合同登记表'!AJ7/'18年合同登记表'!$M7</f>
        <v>0</v>
      </c>
      <c r="AM6" s="122">
        <f>客服部最终提成计算表!$X7*0.15*0.8*0.08*'18年合同登记表'!AJ7/'18年合同登记表'!$M7</f>
        <v>0</v>
      </c>
      <c r="AN6" s="122">
        <f>客服部最终提成计算表!$X7*0.15*0.8*0.05*'18年合同登记表'!AJ7/'18年合同登记表'!$M7</f>
        <v>0</v>
      </c>
      <c r="AO6" s="122">
        <f>客服部最终提成计算表!$X7*0.15*0.8*0.02*'18年合同登记表'!AJ7/'18年合同登记表'!$M7</f>
        <v>0</v>
      </c>
      <c r="AP6" s="122">
        <f>客服部最终提成计算表!$X7*0.15*0.8*0.85*'18年合同登记表'!AL7/'18年合同登记表'!$M7</f>
        <v>0</v>
      </c>
      <c r="AQ6" s="122">
        <f>客服部最终提成计算表!$X7*0.15*0.8*0.08*'18年合同登记表'!AL7/'18年合同登记表'!$M7</f>
        <v>0</v>
      </c>
      <c r="AR6" s="122">
        <f>客服部最终提成计算表!$X7*0.15*0.8*0.05*'18年合同登记表'!AL7/'18年合同登记表'!$M7</f>
        <v>0</v>
      </c>
      <c r="AS6" s="122">
        <f>客服部最终提成计算表!$X7*0.15*0.8*0.02*'18年合同登记表'!AL7/'18年合同登记表'!$M7</f>
        <v>0</v>
      </c>
      <c r="AT6" s="122">
        <f>客服部最终提成计算表!$X7*0.15*0.8*0.85*'18年合同登记表'!AN7/'18年合同登记表'!$M7</f>
        <v>0</v>
      </c>
      <c r="AU6" s="122">
        <f>客服部最终提成计算表!$X7*0.15*0.8*0.08*'18年合同登记表'!AN7/'18年合同登记表'!$M7</f>
        <v>0</v>
      </c>
      <c r="AV6" s="122">
        <f>客服部最终提成计算表!$X7*0.15*0.8*0.05*'18年合同登记表'!AN7/'18年合同登记表'!$M7</f>
        <v>0</v>
      </c>
      <c r="AW6" s="122">
        <f>客服部最终提成计算表!$X7*0.15*0.8*0.02*'18年合同登记表'!AN7/'18年合同登记表'!$M7</f>
        <v>0</v>
      </c>
      <c r="AX6" s="122">
        <f>客服部最终提成计算表!$X7*0.15*0.8*0.85*'18年合同登记表'!AP7/'18年合同登记表'!$M7</f>
        <v>0</v>
      </c>
      <c r="AY6" s="122">
        <f>客服部最终提成计算表!$X7*0.15*0.8*0.08*'18年合同登记表'!AP7/'18年合同登记表'!$M7</f>
        <v>0</v>
      </c>
      <c r="AZ6" s="122">
        <f>客服部最终提成计算表!$X7*0.15*0.8*0.05*'18年合同登记表'!AP7/'18年合同登记表'!$M7</f>
        <v>0</v>
      </c>
      <c r="BA6" s="131">
        <f>客服部最终提成计算表!$X7*0.15*0.8*0.02*'18年合同登记表'!AP7/'18年合同登记表'!$M7</f>
        <v>0</v>
      </c>
    </row>
    <row r="7" s="104" customFormat="1" ht="14.25" spans="1:53">
      <c r="A7" s="117">
        <v>3</v>
      </c>
      <c r="B7" s="118" t="str">
        <f>'18年合同登记表'!F8</f>
        <v>新城国际</v>
      </c>
      <c r="C7" s="119" t="str">
        <f>'18年合同登记表'!H8</f>
        <v>没有编号，挂靠合同(北京江泰装饰装潢有限公司）</v>
      </c>
      <c r="D7" s="119" t="str">
        <f>'18年合同登记表'!I8</f>
        <v>基础设施工程改造</v>
      </c>
      <c r="E7" s="120" t="str">
        <f>'18年合同登记表'!L8</f>
        <v>尹虎</v>
      </c>
      <c r="F7" s="121">
        <f>客服部最终提成计算表!$X8*0.15*0.8*0.85*'18年合同登记表'!T8/'18年合同登记表'!$M8</f>
        <v>0</v>
      </c>
      <c r="G7" s="122">
        <f>客服部最终提成计算表!$X8*0.15*0.8*0.08*'18年合同登记表'!T8/'18年合同登记表'!$M8</f>
        <v>0</v>
      </c>
      <c r="H7" s="122">
        <f>客服部最终提成计算表!$X8*0.15*0.8*0.05*'18年合同登记表'!T8/'18年合同登记表'!$M8</f>
        <v>0</v>
      </c>
      <c r="I7" s="122">
        <f>客服部最终提成计算表!$X8*0.15*0.8*0.02*'18年合同登记表'!T8/'18年合同登记表'!$M8</f>
        <v>0</v>
      </c>
      <c r="J7" s="122">
        <f>客服部最终提成计算表!$X8*0.15*0.8*0.85*'18年合同登记表'!V8/'18年合同登记表'!$M8</f>
        <v>0</v>
      </c>
      <c r="K7" s="122">
        <f>客服部最终提成计算表!$X8*0.15*0.8*0.08*'18年合同登记表'!V8/'18年合同登记表'!$M8</f>
        <v>0</v>
      </c>
      <c r="L7" s="122">
        <f>客服部最终提成计算表!$X8*0.15*0.8*0.05*'18年合同登记表'!V8/'18年合同登记表'!$M8</f>
        <v>0</v>
      </c>
      <c r="M7" s="122">
        <f>客服部最终提成计算表!$X8*0.15*0.8*0.02*'18年合同登记表'!V8/'18年合同登记表'!$M8</f>
        <v>0</v>
      </c>
      <c r="N7" s="122">
        <f>客服部最终提成计算表!$X8*0.15*0.8*0.85*'18年合同登记表'!X8/'18年合同登记表'!$M8</f>
        <v>0</v>
      </c>
      <c r="O7" s="122">
        <f>客服部最终提成计算表!$X8*0.15*0.8*0.08*'18年合同登记表'!X8/'18年合同登记表'!$M8</f>
        <v>0</v>
      </c>
      <c r="P7" s="122">
        <f>客服部最终提成计算表!$X8*0.15*0.8*0.05*'18年合同登记表'!X8/'18年合同登记表'!$M8</f>
        <v>0</v>
      </c>
      <c r="Q7" s="122">
        <f>客服部最终提成计算表!$X8*0.15*0.8*0.02*'18年合同登记表'!X8/'18年合同登记表'!$M8</f>
        <v>0</v>
      </c>
      <c r="R7" s="122">
        <f>客服部最终提成计算表!$X8*0.15*0.8*0.85*'18年合同登记表'!Z8/'18年合同登记表'!$M8</f>
        <v>0</v>
      </c>
      <c r="S7" s="122">
        <f>客服部最终提成计算表!$X8*0.15*0.8*0.08*'18年合同登记表'!Z8/'18年合同登记表'!$M8</f>
        <v>0</v>
      </c>
      <c r="T7" s="122">
        <f>客服部最终提成计算表!$X8*0.15*0.8*0.05*'18年合同登记表'!Z8/'18年合同登记表'!$M8</f>
        <v>0</v>
      </c>
      <c r="U7" s="122">
        <f>客服部最终提成计算表!$X8*0.15*0.8*0.02*'18年合同登记表'!Z8/'18年合同登记表'!$M8</f>
        <v>0</v>
      </c>
      <c r="V7" s="122">
        <f>客服部最终提成计算表!$X8*0.15*0.8*0.85*'18年合同登记表'!AB8/'18年合同登记表'!$M8</f>
        <v>0</v>
      </c>
      <c r="W7" s="122">
        <f>客服部最终提成计算表!$X8*0.15*0.8*0.08*'18年合同登记表'!AB8/'18年合同登记表'!$M8</f>
        <v>0</v>
      </c>
      <c r="X7" s="122">
        <f>客服部最终提成计算表!$X8*0.15*0.8*0.05*'18年合同登记表'!AB8/'18年合同登记表'!$M8</f>
        <v>0</v>
      </c>
      <c r="Y7" s="122">
        <f>客服部最终提成计算表!$X8*0.15*0.8*0.02*'18年合同登记表'!AB8/'18年合同登记表'!$M8</f>
        <v>0</v>
      </c>
      <c r="Z7" s="122">
        <f>客服部最终提成计算表!$X8*0.15*0.8*0.85*'18年合同登记表'!AD8/'18年合同登记表'!$M8</f>
        <v>0</v>
      </c>
      <c r="AA7" s="122">
        <f>客服部最终提成计算表!$X8*0.15*0.8*0.08*'18年合同登记表'!AD8/'18年合同登记表'!$M8</f>
        <v>0</v>
      </c>
      <c r="AB7" s="122">
        <f>客服部最终提成计算表!$X8*0.15*0.8*0.05*'18年合同登记表'!AD8/'18年合同登记表'!$M8</f>
        <v>0</v>
      </c>
      <c r="AC7" s="122">
        <f>客服部最终提成计算表!$X8*0.15*0.8*0.02*'18年合同登记表'!AD8/'18年合同登记表'!$M8</f>
        <v>0</v>
      </c>
      <c r="AD7" s="122">
        <f>客服部最终提成计算表!$X8*0.15*0.8*0.85*'18年合同登记表'!AF8/'18年合同登记表'!$M8</f>
        <v>0</v>
      </c>
      <c r="AE7" s="122">
        <f>客服部最终提成计算表!$X8*0.15*0.8*0.08*'18年合同登记表'!AF8/'18年合同登记表'!$M8</f>
        <v>0</v>
      </c>
      <c r="AF7" s="122">
        <f>客服部最终提成计算表!$X8*0.15*0.8*0.05*'18年合同登记表'!AF8/'18年合同登记表'!$M8</f>
        <v>0</v>
      </c>
      <c r="AG7" s="122">
        <f>客服部最终提成计算表!$X8*0.15*0.8*0.02*'18年合同登记表'!AF8/'18年合同登记表'!$M8</f>
        <v>0</v>
      </c>
      <c r="AH7" s="122">
        <f>客服部最终提成计算表!$X8*0.15*0.8*0.85*'18年合同登记表'!AH8/'18年合同登记表'!$M8</f>
        <v>0</v>
      </c>
      <c r="AI7" s="122">
        <f>客服部最终提成计算表!$X8*0.15*0.8*0.08*'18年合同登记表'!AH8/'18年合同登记表'!$M8</f>
        <v>0</v>
      </c>
      <c r="AJ7" s="122">
        <f>客服部最终提成计算表!$X8*0.15*0.8*0.05*'18年合同登记表'!AH8/'18年合同登记表'!$M8</f>
        <v>0</v>
      </c>
      <c r="AK7" s="122">
        <f>客服部最终提成计算表!$X8*0.15*0.8*0.02*'18年合同登记表'!AH8/'18年合同登记表'!$M8</f>
        <v>0</v>
      </c>
      <c r="AL7" s="122">
        <f>客服部最终提成计算表!$X8*0.15*0.8*0.85*'18年合同登记表'!AJ8/'18年合同登记表'!$M8</f>
        <v>0</v>
      </c>
      <c r="AM7" s="122">
        <f>客服部最终提成计算表!$X8*0.15*0.8*0.08*'18年合同登记表'!AJ8/'18年合同登记表'!$M8</f>
        <v>0</v>
      </c>
      <c r="AN7" s="122">
        <f>客服部最终提成计算表!$X8*0.15*0.8*0.05*'18年合同登记表'!AJ8/'18年合同登记表'!$M8</f>
        <v>0</v>
      </c>
      <c r="AO7" s="122">
        <f>客服部最终提成计算表!$X8*0.15*0.8*0.02*'18年合同登记表'!AJ8/'18年合同登记表'!$M8</f>
        <v>0</v>
      </c>
      <c r="AP7" s="122">
        <f>客服部最终提成计算表!$X8*0.15*0.8*0.85*'18年合同登记表'!AL8/'18年合同登记表'!$M8</f>
        <v>0</v>
      </c>
      <c r="AQ7" s="122">
        <f>客服部最终提成计算表!$X8*0.15*0.8*0.08*'18年合同登记表'!AL8/'18年合同登记表'!$M8</f>
        <v>0</v>
      </c>
      <c r="AR7" s="122">
        <f>客服部最终提成计算表!$X8*0.15*0.8*0.05*'18年合同登记表'!AL8/'18年合同登记表'!$M8</f>
        <v>0</v>
      </c>
      <c r="AS7" s="122">
        <f>客服部最终提成计算表!$X8*0.15*0.8*0.02*'18年合同登记表'!AL8/'18年合同登记表'!$M8</f>
        <v>0</v>
      </c>
      <c r="AT7" s="122">
        <f>客服部最终提成计算表!$X8*0.15*0.8*0.85*'18年合同登记表'!AN8/'18年合同登记表'!$M8</f>
        <v>0</v>
      </c>
      <c r="AU7" s="122">
        <f>客服部最终提成计算表!$X8*0.15*0.8*0.08*'18年合同登记表'!AN8/'18年合同登记表'!$M8</f>
        <v>0</v>
      </c>
      <c r="AV7" s="122">
        <f>客服部最终提成计算表!$X8*0.15*0.8*0.05*'18年合同登记表'!AN8/'18年合同登记表'!$M8</f>
        <v>0</v>
      </c>
      <c r="AW7" s="122">
        <f>客服部最终提成计算表!$X8*0.15*0.8*0.02*'18年合同登记表'!AN8/'18年合同登记表'!$M8</f>
        <v>0</v>
      </c>
      <c r="AX7" s="122">
        <f>客服部最终提成计算表!$X8*0.15*0.8*0.85*'18年合同登记表'!AP8/'18年合同登记表'!$M8</f>
        <v>0</v>
      </c>
      <c r="AY7" s="122">
        <f>客服部最终提成计算表!$X8*0.15*0.8*0.08*'18年合同登记表'!AP8/'18年合同登记表'!$M8</f>
        <v>0</v>
      </c>
      <c r="AZ7" s="122">
        <f>客服部最终提成计算表!$X8*0.15*0.8*0.05*'18年合同登记表'!AP8/'18年合同登记表'!$M8</f>
        <v>0</v>
      </c>
      <c r="BA7" s="131">
        <f>客服部最终提成计算表!$X8*0.15*0.8*0.02*'18年合同登记表'!AP8/'18年合同登记表'!$M8</f>
        <v>0</v>
      </c>
    </row>
    <row r="8" s="104" customFormat="1" ht="14.25" spans="1:53">
      <c r="A8" s="117">
        <v>4</v>
      </c>
      <c r="B8" s="118" t="str">
        <f>'18年合同登记表'!F9</f>
        <v>新城国际</v>
      </c>
      <c r="C8" s="119" t="str">
        <f>'18年合同登记表'!H9</f>
        <v>没有编号，挂靠合同（北京皓景机电设备安装工程有限公司）</v>
      </c>
      <c r="D8" s="119" t="str">
        <f>'18年合同登记表'!I9</f>
        <v>新城国际清洗、改造</v>
      </c>
      <c r="E8" s="120" t="str">
        <f>'18年合同登记表'!L9</f>
        <v>尹虎</v>
      </c>
      <c r="F8" s="121">
        <f>客服部最终提成计算表!$X9*0.15*0.8*0.85*'18年合同登记表'!T9/'18年合同登记表'!$M9</f>
        <v>0</v>
      </c>
      <c r="G8" s="122">
        <f>客服部最终提成计算表!$X9*0.15*0.8*0.08*'18年合同登记表'!T9/'18年合同登记表'!$M9</f>
        <v>0</v>
      </c>
      <c r="H8" s="122">
        <f>客服部最终提成计算表!$X9*0.15*0.8*0.05*'18年合同登记表'!T9/'18年合同登记表'!$M9</f>
        <v>0</v>
      </c>
      <c r="I8" s="122">
        <f>客服部最终提成计算表!$X9*0.15*0.8*0.02*'18年合同登记表'!T9/'18年合同登记表'!$M9</f>
        <v>0</v>
      </c>
      <c r="J8" s="122">
        <f>客服部最终提成计算表!$X9*0.15*0.8*0.85*'18年合同登记表'!V9/'18年合同登记表'!$M9</f>
        <v>0</v>
      </c>
      <c r="K8" s="122">
        <f>客服部最终提成计算表!$X9*0.15*0.8*0.08*'18年合同登记表'!V9/'18年合同登记表'!$M9</f>
        <v>0</v>
      </c>
      <c r="L8" s="122">
        <f>客服部最终提成计算表!$X9*0.15*0.8*0.05*'18年合同登记表'!V9/'18年合同登记表'!$M9</f>
        <v>0</v>
      </c>
      <c r="M8" s="122">
        <f>客服部最终提成计算表!$X9*0.15*0.8*0.02*'18年合同登记表'!V9/'18年合同登记表'!$M9</f>
        <v>0</v>
      </c>
      <c r="N8" s="122">
        <f>客服部最终提成计算表!$X9*0.15*0.8*0.85*'18年合同登记表'!X9/'18年合同登记表'!$M9</f>
        <v>0</v>
      </c>
      <c r="O8" s="122">
        <f>客服部最终提成计算表!$X9*0.15*0.8*0.08*'18年合同登记表'!X9/'18年合同登记表'!$M9</f>
        <v>0</v>
      </c>
      <c r="P8" s="122">
        <f>客服部最终提成计算表!$X9*0.15*0.8*0.05*'18年合同登记表'!X9/'18年合同登记表'!$M9</f>
        <v>0</v>
      </c>
      <c r="Q8" s="122">
        <f>客服部最终提成计算表!$X9*0.15*0.8*0.02*'18年合同登记表'!X9/'18年合同登记表'!$M9</f>
        <v>0</v>
      </c>
      <c r="R8" s="122">
        <f>客服部最终提成计算表!$X9*0.15*0.8*0.85*'18年合同登记表'!Z9/'18年合同登记表'!$M9</f>
        <v>0</v>
      </c>
      <c r="S8" s="122">
        <f>客服部最终提成计算表!$X9*0.15*0.8*0.08*'18年合同登记表'!Z9/'18年合同登记表'!$M9</f>
        <v>0</v>
      </c>
      <c r="T8" s="122">
        <f>客服部最终提成计算表!$X9*0.15*0.8*0.05*'18年合同登记表'!Z9/'18年合同登记表'!$M9</f>
        <v>0</v>
      </c>
      <c r="U8" s="122">
        <f>客服部最终提成计算表!$X9*0.15*0.8*0.02*'18年合同登记表'!Z9/'18年合同登记表'!$M9</f>
        <v>0</v>
      </c>
      <c r="V8" s="122">
        <f>客服部最终提成计算表!$X9*0.15*0.8*0.85*'18年合同登记表'!AB9/'18年合同登记表'!$M9</f>
        <v>0</v>
      </c>
      <c r="W8" s="122">
        <f>客服部最终提成计算表!$X9*0.15*0.8*0.08*'18年合同登记表'!AB9/'18年合同登记表'!$M9</f>
        <v>0</v>
      </c>
      <c r="X8" s="122">
        <f>客服部最终提成计算表!$X9*0.15*0.8*0.05*'18年合同登记表'!AB9/'18年合同登记表'!$M9</f>
        <v>0</v>
      </c>
      <c r="Y8" s="122">
        <f>客服部最终提成计算表!$X9*0.15*0.8*0.02*'18年合同登记表'!AB9/'18年合同登记表'!$M9</f>
        <v>0</v>
      </c>
      <c r="Z8" s="122">
        <f>客服部最终提成计算表!$X9*0.15*0.8*0.85*'18年合同登记表'!AD9/'18年合同登记表'!$M9</f>
        <v>0</v>
      </c>
      <c r="AA8" s="122">
        <f>客服部最终提成计算表!$X9*0.15*0.8*0.08*'18年合同登记表'!AD9/'18年合同登记表'!$M9</f>
        <v>0</v>
      </c>
      <c r="AB8" s="122">
        <f>客服部最终提成计算表!$X9*0.15*0.8*0.05*'18年合同登记表'!AD9/'18年合同登记表'!$M9</f>
        <v>0</v>
      </c>
      <c r="AC8" s="122">
        <f>客服部最终提成计算表!$X9*0.15*0.8*0.02*'18年合同登记表'!AD9/'18年合同登记表'!$M9</f>
        <v>0</v>
      </c>
      <c r="AD8" s="122">
        <f>客服部最终提成计算表!$X9*0.15*0.8*0.85*'18年合同登记表'!AF9/'18年合同登记表'!$M9</f>
        <v>0</v>
      </c>
      <c r="AE8" s="122">
        <f>客服部最终提成计算表!$X9*0.15*0.8*0.08*'18年合同登记表'!AF9/'18年合同登记表'!$M9</f>
        <v>0</v>
      </c>
      <c r="AF8" s="122">
        <f>客服部最终提成计算表!$X9*0.15*0.8*0.05*'18年合同登记表'!AF9/'18年合同登记表'!$M9</f>
        <v>0</v>
      </c>
      <c r="AG8" s="122">
        <f>客服部最终提成计算表!$X9*0.15*0.8*0.02*'18年合同登记表'!AF9/'18年合同登记表'!$M9</f>
        <v>0</v>
      </c>
      <c r="AH8" s="122">
        <f>客服部最终提成计算表!$X9*0.15*0.8*0.85*'18年合同登记表'!AH9/'18年合同登记表'!$M9</f>
        <v>0</v>
      </c>
      <c r="AI8" s="122">
        <f>客服部最终提成计算表!$X9*0.15*0.8*0.08*'18年合同登记表'!AH9/'18年合同登记表'!$M9</f>
        <v>0</v>
      </c>
      <c r="AJ8" s="122">
        <f>客服部最终提成计算表!$X9*0.15*0.8*0.05*'18年合同登记表'!AH9/'18年合同登记表'!$M9</f>
        <v>0</v>
      </c>
      <c r="AK8" s="122">
        <f>客服部最终提成计算表!$X9*0.15*0.8*0.02*'18年合同登记表'!AH9/'18年合同登记表'!$M9</f>
        <v>0</v>
      </c>
      <c r="AL8" s="122">
        <f>客服部最终提成计算表!$X9*0.15*0.8*0.85*'18年合同登记表'!AJ9/'18年合同登记表'!$M9</f>
        <v>0</v>
      </c>
      <c r="AM8" s="122">
        <f>客服部最终提成计算表!$X9*0.15*0.8*0.08*'18年合同登记表'!AJ9/'18年合同登记表'!$M9</f>
        <v>0</v>
      </c>
      <c r="AN8" s="122">
        <f>客服部最终提成计算表!$X9*0.15*0.8*0.05*'18年合同登记表'!AJ9/'18年合同登记表'!$M9</f>
        <v>0</v>
      </c>
      <c r="AO8" s="122">
        <f>客服部最终提成计算表!$X9*0.15*0.8*0.02*'18年合同登记表'!AJ9/'18年合同登记表'!$M9</f>
        <v>0</v>
      </c>
      <c r="AP8" s="122">
        <f>客服部最终提成计算表!$X9*0.15*0.8*0.85*'18年合同登记表'!AL9/'18年合同登记表'!$M9</f>
        <v>0</v>
      </c>
      <c r="AQ8" s="122">
        <f>客服部最终提成计算表!$X9*0.15*0.8*0.08*'18年合同登记表'!AL9/'18年合同登记表'!$M9</f>
        <v>0</v>
      </c>
      <c r="AR8" s="122">
        <f>客服部最终提成计算表!$X9*0.15*0.8*0.05*'18年合同登记表'!AL9/'18年合同登记表'!$M9</f>
        <v>0</v>
      </c>
      <c r="AS8" s="122">
        <f>客服部最终提成计算表!$X9*0.15*0.8*0.02*'18年合同登记表'!AL9/'18年合同登记表'!$M9</f>
        <v>0</v>
      </c>
      <c r="AT8" s="122">
        <f>客服部最终提成计算表!$X9*0.15*0.8*0.85*'18年合同登记表'!AN9/'18年合同登记表'!$M9</f>
        <v>0</v>
      </c>
      <c r="AU8" s="122">
        <f>客服部最终提成计算表!$X9*0.15*0.8*0.08*'18年合同登记表'!AN9/'18年合同登记表'!$M9</f>
        <v>0</v>
      </c>
      <c r="AV8" s="122">
        <f>客服部最终提成计算表!$X9*0.15*0.8*0.05*'18年合同登记表'!AN9/'18年合同登记表'!$M9</f>
        <v>0</v>
      </c>
      <c r="AW8" s="122">
        <f>客服部最终提成计算表!$X9*0.15*0.8*0.02*'18年合同登记表'!AN9/'18年合同登记表'!$M9</f>
        <v>0</v>
      </c>
      <c r="AX8" s="122">
        <f>客服部最终提成计算表!$X9*0.15*0.8*0.85*'18年合同登记表'!AP9/'18年合同登记表'!$M9</f>
        <v>0</v>
      </c>
      <c r="AY8" s="122">
        <f>客服部最终提成计算表!$X9*0.15*0.8*0.08*'18年合同登记表'!AP9/'18年合同登记表'!$M9</f>
        <v>0</v>
      </c>
      <c r="AZ8" s="122">
        <f>客服部最终提成计算表!$X9*0.15*0.8*0.05*'18年合同登记表'!AP9/'18年合同登记表'!$M9</f>
        <v>0</v>
      </c>
      <c r="BA8" s="131">
        <f>客服部最终提成计算表!$X9*0.15*0.8*0.02*'18年合同登记表'!AP9/'18年合同登记表'!$M9</f>
        <v>0</v>
      </c>
    </row>
    <row r="9" s="104" customFormat="1" ht="14.25" spans="1:53">
      <c r="A9" s="117">
        <v>5</v>
      </c>
      <c r="B9" s="118" t="str">
        <f>'18年合同登记表'!F10</f>
        <v>新城国际</v>
      </c>
      <c r="C9" s="119" t="str">
        <f>'18年合同登记表'!H10</f>
        <v>NHS-20170925-Q-01-01-001</v>
      </c>
      <c r="D9" s="119" t="str">
        <f>'18年合同登记表'!I10</f>
        <v>生活水泵变频器更换</v>
      </c>
      <c r="E9" s="120" t="str">
        <f>'18年合同登记表'!L10</f>
        <v>尹虎</v>
      </c>
      <c r="F9" s="121">
        <f>客服部最终提成计算表!$X10*0.15*0.8*0.85*'18年合同登记表'!T10/'18年合同登记表'!$M10</f>
        <v>0</v>
      </c>
      <c r="G9" s="122">
        <f>客服部最终提成计算表!$X10*0.15*0.8*0.08*'18年合同登记表'!T10/'18年合同登记表'!$M10</f>
        <v>0</v>
      </c>
      <c r="H9" s="122">
        <f>客服部最终提成计算表!$X10*0.15*0.8*0.05*'18年合同登记表'!T10/'18年合同登记表'!$M10</f>
        <v>0</v>
      </c>
      <c r="I9" s="122">
        <f>客服部最终提成计算表!$X10*0.15*0.8*0.02*'18年合同登记表'!T10/'18年合同登记表'!$M10</f>
        <v>0</v>
      </c>
      <c r="J9" s="122">
        <f>客服部最终提成计算表!$X10*0.15*0.8*0.85*'18年合同登记表'!V10/'18年合同登记表'!$M10</f>
        <v>0</v>
      </c>
      <c r="K9" s="122">
        <f>客服部最终提成计算表!$X10*0.15*0.8*0.08*'18年合同登记表'!V10/'18年合同登记表'!$M10</f>
        <v>0</v>
      </c>
      <c r="L9" s="122">
        <f>客服部最终提成计算表!$X10*0.15*0.8*0.05*'18年合同登记表'!V10/'18年合同登记表'!$M10</f>
        <v>0</v>
      </c>
      <c r="M9" s="122">
        <f>客服部最终提成计算表!$X10*0.15*0.8*0.02*'18年合同登记表'!V10/'18年合同登记表'!$M10</f>
        <v>0</v>
      </c>
      <c r="N9" s="122">
        <f>客服部最终提成计算表!$X10*0.15*0.8*0.85*'18年合同登记表'!X10/'18年合同登记表'!$M10</f>
        <v>0</v>
      </c>
      <c r="O9" s="122">
        <f>客服部最终提成计算表!$X10*0.15*0.8*0.08*'18年合同登记表'!X10/'18年合同登记表'!$M10</f>
        <v>0</v>
      </c>
      <c r="P9" s="122">
        <f>客服部最终提成计算表!$X10*0.15*0.8*0.05*'18年合同登记表'!X10/'18年合同登记表'!$M10</f>
        <v>0</v>
      </c>
      <c r="Q9" s="122">
        <f>客服部最终提成计算表!$X10*0.15*0.8*0.02*'18年合同登记表'!X10/'18年合同登记表'!$M10</f>
        <v>0</v>
      </c>
      <c r="R9" s="122">
        <f>客服部最终提成计算表!$X10*0.15*0.8*0.85*'18年合同登记表'!Z10/'18年合同登记表'!$M10</f>
        <v>0</v>
      </c>
      <c r="S9" s="122">
        <f>客服部最终提成计算表!$X10*0.15*0.8*0.08*'18年合同登记表'!Z10/'18年合同登记表'!$M10</f>
        <v>0</v>
      </c>
      <c r="T9" s="122">
        <f>客服部最终提成计算表!$X10*0.15*0.8*0.05*'18年合同登记表'!Z10/'18年合同登记表'!$M10</f>
        <v>0</v>
      </c>
      <c r="U9" s="122">
        <f>客服部最终提成计算表!$X10*0.15*0.8*0.02*'18年合同登记表'!Z10/'18年合同登记表'!$M10</f>
        <v>0</v>
      </c>
      <c r="V9" s="122">
        <f>客服部最终提成计算表!$X10*0.15*0.8*0.85*'18年合同登记表'!AB10/'18年合同登记表'!$M10</f>
        <v>0</v>
      </c>
      <c r="W9" s="122">
        <f>客服部最终提成计算表!$X10*0.15*0.8*0.08*'18年合同登记表'!AB10/'18年合同登记表'!$M10</f>
        <v>0</v>
      </c>
      <c r="X9" s="122">
        <f>客服部最终提成计算表!$X10*0.15*0.8*0.05*'18年合同登记表'!AB10/'18年合同登记表'!$M10</f>
        <v>0</v>
      </c>
      <c r="Y9" s="122">
        <f>客服部最终提成计算表!$X10*0.15*0.8*0.02*'18年合同登记表'!AB10/'18年合同登记表'!$M10</f>
        <v>0</v>
      </c>
      <c r="Z9" s="122">
        <f>客服部最终提成计算表!$X10*0.15*0.8*0.85*'18年合同登记表'!AD10/'18年合同登记表'!$M10</f>
        <v>0</v>
      </c>
      <c r="AA9" s="122">
        <f>客服部最终提成计算表!$X10*0.15*0.8*0.08*'18年合同登记表'!AD10/'18年合同登记表'!$M10</f>
        <v>0</v>
      </c>
      <c r="AB9" s="122">
        <f>客服部最终提成计算表!$X10*0.15*0.8*0.05*'18年合同登记表'!AD10/'18年合同登记表'!$M10</f>
        <v>0</v>
      </c>
      <c r="AC9" s="122">
        <f>客服部最终提成计算表!$X10*0.15*0.8*0.02*'18年合同登记表'!AD10/'18年合同登记表'!$M10</f>
        <v>0</v>
      </c>
      <c r="AD9" s="122">
        <f>客服部最终提成计算表!$X10*0.15*0.8*0.85*'18年合同登记表'!AF10/'18年合同登记表'!$M10</f>
        <v>0</v>
      </c>
      <c r="AE9" s="122">
        <f>客服部最终提成计算表!$X10*0.15*0.8*0.08*'18年合同登记表'!AF10/'18年合同登记表'!$M10</f>
        <v>0</v>
      </c>
      <c r="AF9" s="122">
        <f>客服部最终提成计算表!$X10*0.15*0.8*0.05*'18年合同登记表'!AF10/'18年合同登记表'!$M10</f>
        <v>0</v>
      </c>
      <c r="AG9" s="122">
        <f>客服部最终提成计算表!$X10*0.15*0.8*0.02*'18年合同登记表'!AF10/'18年合同登记表'!$M10</f>
        <v>0</v>
      </c>
      <c r="AH9" s="122">
        <f>客服部最终提成计算表!$X10*0.15*0.8*0.85*'18年合同登记表'!AH10/'18年合同登记表'!$M10</f>
        <v>0</v>
      </c>
      <c r="AI9" s="122">
        <f>客服部最终提成计算表!$X10*0.15*0.8*0.08*'18年合同登记表'!AH10/'18年合同登记表'!$M10</f>
        <v>0</v>
      </c>
      <c r="AJ9" s="122">
        <f>客服部最终提成计算表!$X10*0.15*0.8*0.05*'18年合同登记表'!AH10/'18年合同登记表'!$M10</f>
        <v>0</v>
      </c>
      <c r="AK9" s="122">
        <f>客服部最终提成计算表!$X10*0.15*0.8*0.02*'18年合同登记表'!AH10/'18年合同登记表'!$M10</f>
        <v>0</v>
      </c>
      <c r="AL9" s="122">
        <f>客服部最终提成计算表!$X10*0.15*0.8*0.85*'18年合同登记表'!AJ10/'18年合同登记表'!$M10</f>
        <v>0</v>
      </c>
      <c r="AM9" s="122">
        <f>客服部最终提成计算表!$X10*0.15*0.8*0.08*'18年合同登记表'!AJ10/'18年合同登记表'!$M10</f>
        <v>0</v>
      </c>
      <c r="AN9" s="122">
        <f>客服部最终提成计算表!$X10*0.15*0.8*0.05*'18年合同登记表'!AJ10/'18年合同登记表'!$M10</f>
        <v>0</v>
      </c>
      <c r="AO9" s="122">
        <f>客服部最终提成计算表!$X10*0.15*0.8*0.02*'18年合同登记表'!AJ10/'18年合同登记表'!$M10</f>
        <v>0</v>
      </c>
      <c r="AP9" s="122">
        <f>客服部最终提成计算表!$X10*0.15*0.8*0.85*'18年合同登记表'!AL10/'18年合同登记表'!$M10</f>
        <v>0</v>
      </c>
      <c r="AQ9" s="122">
        <f>客服部最终提成计算表!$X10*0.15*0.8*0.08*'18年合同登记表'!AL10/'18年合同登记表'!$M10</f>
        <v>0</v>
      </c>
      <c r="AR9" s="122">
        <f>客服部最终提成计算表!$X10*0.15*0.8*0.05*'18年合同登记表'!AL10/'18年合同登记表'!$M10</f>
        <v>0</v>
      </c>
      <c r="AS9" s="122">
        <f>客服部最终提成计算表!$X10*0.15*0.8*0.02*'18年合同登记表'!AL10/'18年合同登记表'!$M10</f>
        <v>0</v>
      </c>
      <c r="AT9" s="122">
        <f>客服部最终提成计算表!$X10*0.15*0.8*0.85*'18年合同登记表'!AN10/'18年合同登记表'!$M10</f>
        <v>0</v>
      </c>
      <c r="AU9" s="122">
        <f>客服部最终提成计算表!$X10*0.15*0.8*0.08*'18年合同登记表'!AN10/'18年合同登记表'!$M10</f>
        <v>0</v>
      </c>
      <c r="AV9" s="122">
        <f>客服部最终提成计算表!$X10*0.15*0.8*0.05*'18年合同登记表'!AN10/'18年合同登记表'!$M10</f>
        <v>0</v>
      </c>
      <c r="AW9" s="122">
        <f>客服部最终提成计算表!$X10*0.15*0.8*0.02*'18年合同登记表'!AN10/'18年合同登记表'!$M10</f>
        <v>0</v>
      </c>
      <c r="AX9" s="122">
        <f>客服部最终提成计算表!$X10*0.15*0.8*0.85*'18年合同登记表'!AP10/'18年合同登记表'!$M10</f>
        <v>0</v>
      </c>
      <c r="AY9" s="122">
        <f>客服部最终提成计算表!$X10*0.15*0.8*0.08*'18年合同登记表'!AP10/'18年合同登记表'!$M10</f>
        <v>0</v>
      </c>
      <c r="AZ9" s="122">
        <f>客服部最终提成计算表!$X10*0.15*0.8*0.05*'18年合同登记表'!AP10/'18年合同登记表'!$M10</f>
        <v>0</v>
      </c>
      <c r="BA9" s="131">
        <f>客服部最终提成计算表!$X10*0.15*0.8*0.02*'18年合同登记表'!AP10/'18年合同登记表'!$M10</f>
        <v>0</v>
      </c>
    </row>
    <row r="10" s="104" customFormat="1" ht="14.25" spans="1:53">
      <c r="A10" s="117">
        <v>6</v>
      </c>
      <c r="B10" s="118" t="str">
        <f>'18年合同登记表'!F11</f>
        <v>翠微牡丹园</v>
      </c>
      <c r="C10" s="119" t="str">
        <f>'18年合同登记表'!H11</f>
        <v>NHS-20171205-KF-01-01-008</v>
      </c>
      <c r="D10" s="119" t="str">
        <f>'18年合同登记表'!I11</f>
        <v>空调年度维保</v>
      </c>
      <c r="E10" s="120" t="str">
        <f>'18年合同登记表'!L11</f>
        <v>陈勇/</v>
      </c>
      <c r="F10" s="121">
        <f>客服部最终提成计算表!$X11*0.15*0.8*0.85*'18年合同登记表'!T11/'18年合同登记表'!$M11</f>
        <v>0</v>
      </c>
      <c r="G10" s="122">
        <f>客服部最终提成计算表!$X11*0.15*0.8*0.08*'18年合同登记表'!T11/'18年合同登记表'!$M11</f>
        <v>0</v>
      </c>
      <c r="H10" s="122">
        <f>客服部最终提成计算表!$X11*0.15*0.8*0.05*'18年合同登记表'!T11/'18年合同登记表'!$M11</f>
        <v>0</v>
      </c>
      <c r="I10" s="122">
        <f>客服部最终提成计算表!$X11*0.15*0.8*0.02*'18年合同登记表'!T11/'18年合同登记表'!$M11</f>
        <v>0</v>
      </c>
      <c r="J10" s="122">
        <f>客服部最终提成计算表!$X11*0.15*0.8*0.85*'18年合同登记表'!V11/'18年合同登记表'!$M11</f>
        <v>0</v>
      </c>
      <c r="K10" s="122">
        <f>客服部最终提成计算表!$X11*0.15*0.8*0.08*'18年合同登记表'!V11/'18年合同登记表'!$M11</f>
        <v>0</v>
      </c>
      <c r="L10" s="122">
        <f>客服部最终提成计算表!$X11*0.15*0.8*0.05*'18年合同登记表'!V11/'18年合同登记表'!$M11</f>
        <v>0</v>
      </c>
      <c r="M10" s="122">
        <f>客服部最终提成计算表!$X11*0.15*0.8*0.02*'18年合同登记表'!V11/'18年合同登记表'!$M11</f>
        <v>0</v>
      </c>
      <c r="N10" s="122">
        <f>客服部最终提成计算表!$X11*0.15*0.8*0.85*'18年合同登记表'!X11/'18年合同登记表'!$M11</f>
        <v>918</v>
      </c>
      <c r="O10" s="122">
        <f>客服部最终提成计算表!$X11*0.15*0.8*0.08*'18年合同登记表'!X11/'18年合同登记表'!$M11</f>
        <v>86.4</v>
      </c>
      <c r="P10" s="122">
        <f>客服部最终提成计算表!$X11*0.15*0.8*0.05*'18年合同登记表'!X11/'18年合同登记表'!$M11</f>
        <v>54</v>
      </c>
      <c r="Q10" s="122">
        <f>客服部最终提成计算表!$X11*0.15*0.8*0.02*'18年合同登记表'!X11/'18年合同登记表'!$M11</f>
        <v>21.6</v>
      </c>
      <c r="R10" s="122">
        <f>客服部最终提成计算表!$X11*0.15*0.8*0.85*'18年合同登记表'!Z11/'18年合同登记表'!$M11</f>
        <v>0</v>
      </c>
      <c r="S10" s="122">
        <f>客服部最终提成计算表!$X11*0.15*0.8*0.08*'18年合同登记表'!Z11/'18年合同登记表'!$M11</f>
        <v>0</v>
      </c>
      <c r="T10" s="122">
        <f>客服部最终提成计算表!$X11*0.15*0.8*0.05*'18年合同登记表'!Z11/'18年合同登记表'!$M11</f>
        <v>0</v>
      </c>
      <c r="U10" s="122">
        <f>客服部最终提成计算表!$X11*0.15*0.8*0.02*'18年合同登记表'!Z11/'18年合同登记表'!$M11</f>
        <v>0</v>
      </c>
      <c r="V10" s="122">
        <f>客服部最终提成计算表!$X11*0.15*0.8*0.85*'18年合同登记表'!AB11/'18年合同登记表'!$M11</f>
        <v>0</v>
      </c>
      <c r="W10" s="122">
        <f>客服部最终提成计算表!$X11*0.15*0.8*0.08*'18年合同登记表'!AB11/'18年合同登记表'!$M11</f>
        <v>0</v>
      </c>
      <c r="X10" s="122">
        <f>客服部最终提成计算表!$X11*0.15*0.8*0.05*'18年合同登记表'!AB11/'18年合同登记表'!$M11</f>
        <v>0</v>
      </c>
      <c r="Y10" s="122">
        <f>客服部最终提成计算表!$X11*0.15*0.8*0.02*'18年合同登记表'!AB11/'18年合同登记表'!$M11</f>
        <v>0</v>
      </c>
      <c r="Z10" s="122">
        <f>客服部最终提成计算表!$X11*0.15*0.8*0.85*'18年合同登记表'!AD11/'18年合同登记表'!$M11</f>
        <v>0</v>
      </c>
      <c r="AA10" s="122">
        <f>客服部最终提成计算表!$X11*0.15*0.8*0.08*'18年合同登记表'!AD11/'18年合同登记表'!$M11</f>
        <v>0</v>
      </c>
      <c r="AB10" s="122">
        <f>客服部最终提成计算表!$X11*0.15*0.8*0.05*'18年合同登记表'!AD11/'18年合同登记表'!$M11</f>
        <v>0</v>
      </c>
      <c r="AC10" s="122">
        <f>客服部最终提成计算表!$X11*0.15*0.8*0.02*'18年合同登记表'!AD11/'18年合同登记表'!$M11</f>
        <v>0</v>
      </c>
      <c r="AD10" s="122">
        <f>客服部最终提成计算表!$X11*0.15*0.8*0.85*'18年合同登记表'!AF11/'18年合同登记表'!$M11</f>
        <v>0</v>
      </c>
      <c r="AE10" s="122">
        <f>客服部最终提成计算表!$X11*0.15*0.8*0.08*'18年合同登记表'!AF11/'18年合同登记表'!$M11</f>
        <v>0</v>
      </c>
      <c r="AF10" s="122">
        <f>客服部最终提成计算表!$X11*0.15*0.8*0.05*'18年合同登记表'!AF11/'18年合同登记表'!$M11</f>
        <v>0</v>
      </c>
      <c r="AG10" s="122">
        <f>客服部最终提成计算表!$X11*0.15*0.8*0.02*'18年合同登记表'!AF11/'18年合同登记表'!$M11</f>
        <v>0</v>
      </c>
      <c r="AH10" s="122">
        <f>客服部最终提成计算表!$X11*0.15*0.8*0.85*'18年合同登记表'!AH11/'18年合同登记表'!$M11</f>
        <v>0</v>
      </c>
      <c r="AI10" s="122">
        <f>客服部最终提成计算表!$X11*0.15*0.8*0.08*'18年合同登记表'!AH11/'18年合同登记表'!$M11</f>
        <v>0</v>
      </c>
      <c r="AJ10" s="122">
        <f>客服部最终提成计算表!$X11*0.15*0.8*0.05*'18年合同登记表'!AH11/'18年合同登记表'!$M11</f>
        <v>0</v>
      </c>
      <c r="AK10" s="122">
        <f>客服部最终提成计算表!$X11*0.15*0.8*0.02*'18年合同登记表'!AH11/'18年合同登记表'!$M11</f>
        <v>0</v>
      </c>
      <c r="AL10" s="122">
        <f>客服部最终提成计算表!$X11*0.15*0.8*0.85*'18年合同登记表'!AJ11/'18年合同登记表'!$M11</f>
        <v>0</v>
      </c>
      <c r="AM10" s="122">
        <f>客服部最终提成计算表!$X11*0.15*0.8*0.08*'18年合同登记表'!AJ11/'18年合同登记表'!$M11</f>
        <v>0</v>
      </c>
      <c r="AN10" s="122">
        <f>客服部最终提成计算表!$X11*0.15*0.8*0.05*'18年合同登记表'!AJ11/'18年合同登记表'!$M11</f>
        <v>0</v>
      </c>
      <c r="AO10" s="122">
        <f>客服部最终提成计算表!$X11*0.15*0.8*0.02*'18年合同登记表'!AJ11/'18年合同登记表'!$M11</f>
        <v>0</v>
      </c>
      <c r="AP10" s="122">
        <f>客服部最终提成计算表!$X11*0.15*0.8*0.85*'18年合同登记表'!AL11/'18年合同登记表'!$M11</f>
        <v>0</v>
      </c>
      <c r="AQ10" s="122">
        <f>客服部最终提成计算表!$X11*0.15*0.8*0.08*'18年合同登记表'!AL11/'18年合同登记表'!$M11</f>
        <v>0</v>
      </c>
      <c r="AR10" s="122">
        <f>客服部最终提成计算表!$X11*0.15*0.8*0.05*'18年合同登记表'!AL11/'18年合同登记表'!$M11</f>
        <v>0</v>
      </c>
      <c r="AS10" s="122">
        <f>客服部最终提成计算表!$X11*0.15*0.8*0.02*'18年合同登记表'!AL11/'18年合同登记表'!$M11</f>
        <v>0</v>
      </c>
      <c r="AT10" s="122">
        <f>客服部最终提成计算表!$X11*0.15*0.8*0.85*'18年合同登记表'!AN11/'18年合同登记表'!$M11</f>
        <v>1530</v>
      </c>
      <c r="AU10" s="122">
        <f>客服部最终提成计算表!$X11*0.15*0.8*0.08*'18年合同登记表'!AN11/'18年合同登记表'!$M11</f>
        <v>144</v>
      </c>
      <c r="AV10" s="122">
        <f>客服部最终提成计算表!$X11*0.15*0.8*0.05*'18年合同登记表'!AN11/'18年合同登记表'!$M11</f>
        <v>90</v>
      </c>
      <c r="AW10" s="122">
        <f>客服部最终提成计算表!$X11*0.15*0.8*0.02*'18年合同登记表'!AN11/'18年合同登记表'!$M11</f>
        <v>36</v>
      </c>
      <c r="AX10" s="122">
        <f>客服部最终提成计算表!$X11*0.15*0.8*0.85*'18年合同登记表'!AP11/'18年合同登记表'!$M11</f>
        <v>612</v>
      </c>
      <c r="AY10" s="122">
        <f>客服部最终提成计算表!$X11*0.15*0.8*0.08*'18年合同登记表'!AP11/'18年合同登记表'!$M11</f>
        <v>57.6</v>
      </c>
      <c r="AZ10" s="122">
        <f>客服部最终提成计算表!$X11*0.15*0.8*0.05*'18年合同登记表'!AP11/'18年合同登记表'!$M11</f>
        <v>36</v>
      </c>
      <c r="BA10" s="131">
        <f>客服部最终提成计算表!$X11*0.15*0.8*0.02*'18年合同登记表'!AP11/'18年合同登记表'!$M11</f>
        <v>14.4</v>
      </c>
    </row>
    <row r="11" s="104" customFormat="1" ht="14.25" spans="1:53">
      <c r="A11" s="117">
        <v>7</v>
      </c>
      <c r="B11" s="118" t="str">
        <f>'18年合同登记表'!F12</f>
        <v>中石油</v>
      </c>
      <c r="C11" s="119" t="str">
        <f>'18年合同登记表'!H12</f>
        <v>NHS-20170825-KF-01-01-008</v>
      </c>
      <c r="D11" s="119" t="str">
        <f>'18年合同登记表'!I12</f>
        <v>直燃机年度维保</v>
      </c>
      <c r="E11" s="120" t="str">
        <f>'18年合同登记表'!L12</f>
        <v>陈勇/</v>
      </c>
      <c r="F11" s="121">
        <f>客服部最终提成计算表!$X12*0.15*0.8*0.85*'18年合同登记表'!T12/'18年合同登记表'!$M12</f>
        <v>0</v>
      </c>
      <c r="G11" s="122">
        <f>客服部最终提成计算表!$X12*0.15*0.8*0.08*'18年合同登记表'!T12/'18年合同登记表'!$M12</f>
        <v>0</v>
      </c>
      <c r="H11" s="122">
        <f>客服部最终提成计算表!$X12*0.15*0.8*0.05*'18年合同登记表'!T12/'18年合同登记表'!$M12</f>
        <v>0</v>
      </c>
      <c r="I11" s="122">
        <f>客服部最终提成计算表!$X12*0.15*0.8*0.02*'18年合同登记表'!T12/'18年合同登记表'!$M12</f>
        <v>0</v>
      </c>
      <c r="J11" s="122">
        <f>客服部最终提成计算表!$X12*0.15*0.8*0.85*'18年合同登记表'!V12/'18年合同登记表'!$M12</f>
        <v>0</v>
      </c>
      <c r="K11" s="122">
        <f>客服部最终提成计算表!$X12*0.15*0.8*0.08*'18年合同登记表'!V12/'18年合同登记表'!$M12</f>
        <v>0</v>
      </c>
      <c r="L11" s="122">
        <f>客服部最终提成计算表!$X12*0.15*0.8*0.05*'18年合同登记表'!V12/'18年合同登记表'!$M12</f>
        <v>0</v>
      </c>
      <c r="M11" s="122">
        <f>客服部最终提成计算表!$X12*0.15*0.8*0.02*'18年合同登记表'!V12/'18年合同登记表'!$M12</f>
        <v>0</v>
      </c>
      <c r="N11" s="122">
        <f>客服部最终提成计算表!$X12*0.15*0.8*0.85*'18年合同登记表'!X12/'18年合同登记表'!$M12</f>
        <v>0</v>
      </c>
      <c r="O11" s="122">
        <f>客服部最终提成计算表!$X12*0.15*0.8*0.08*'18年合同登记表'!X12/'18年合同登记表'!$M12</f>
        <v>0</v>
      </c>
      <c r="P11" s="122">
        <f>客服部最终提成计算表!$X12*0.15*0.8*0.05*'18年合同登记表'!X12/'18年合同登记表'!$M12</f>
        <v>0</v>
      </c>
      <c r="Q11" s="122">
        <f>客服部最终提成计算表!$X12*0.15*0.8*0.02*'18年合同登记表'!X12/'18年合同登记表'!$M12</f>
        <v>0</v>
      </c>
      <c r="R11" s="122">
        <f>客服部最终提成计算表!$X12*0.15*0.8*0.85*'18年合同登记表'!Z12/'18年合同登记表'!$M12</f>
        <v>0</v>
      </c>
      <c r="S11" s="122">
        <f>客服部最终提成计算表!$X12*0.15*0.8*0.08*'18年合同登记表'!Z12/'18年合同登记表'!$M12</f>
        <v>0</v>
      </c>
      <c r="T11" s="122">
        <f>客服部最终提成计算表!$X12*0.15*0.8*0.05*'18年合同登记表'!Z12/'18年合同登记表'!$M12</f>
        <v>0</v>
      </c>
      <c r="U11" s="122">
        <f>客服部最终提成计算表!$X12*0.15*0.8*0.02*'18年合同登记表'!Z12/'18年合同登记表'!$M12</f>
        <v>0</v>
      </c>
      <c r="V11" s="122">
        <f>客服部最终提成计算表!$X12*0.15*0.8*0.85*'18年合同登记表'!AB12/'18年合同登记表'!$M12</f>
        <v>0</v>
      </c>
      <c r="W11" s="122">
        <f>客服部最终提成计算表!$X12*0.15*0.8*0.08*'18年合同登记表'!AB12/'18年合同登记表'!$M12</f>
        <v>0</v>
      </c>
      <c r="X11" s="122">
        <f>客服部最终提成计算表!$X12*0.15*0.8*0.05*'18年合同登记表'!AB12/'18年合同登记表'!$M12</f>
        <v>0</v>
      </c>
      <c r="Y11" s="122">
        <f>客服部最终提成计算表!$X12*0.15*0.8*0.02*'18年合同登记表'!AB12/'18年合同登记表'!$M12</f>
        <v>0</v>
      </c>
      <c r="Z11" s="122">
        <f>客服部最终提成计算表!$X12*0.15*0.8*0.85*'18年合同登记表'!AD12/'18年合同登记表'!$M12</f>
        <v>0</v>
      </c>
      <c r="AA11" s="122">
        <f>客服部最终提成计算表!$X12*0.15*0.8*0.08*'18年合同登记表'!AD12/'18年合同登记表'!$M12</f>
        <v>0</v>
      </c>
      <c r="AB11" s="122">
        <f>客服部最终提成计算表!$X12*0.15*0.8*0.05*'18年合同登记表'!AD12/'18年合同登记表'!$M12</f>
        <v>0</v>
      </c>
      <c r="AC11" s="122">
        <f>客服部最终提成计算表!$X12*0.15*0.8*0.02*'18年合同登记表'!AD12/'18年合同登记表'!$M12</f>
        <v>0</v>
      </c>
      <c r="AD11" s="122">
        <f>客服部最终提成计算表!$X12*0.15*0.8*0.85*'18年合同登记表'!AF12/'18年合同登记表'!$M12</f>
        <v>0</v>
      </c>
      <c r="AE11" s="122">
        <f>客服部最终提成计算表!$X12*0.15*0.8*0.08*'18年合同登记表'!AF12/'18年合同登记表'!$M12</f>
        <v>0</v>
      </c>
      <c r="AF11" s="122">
        <f>客服部最终提成计算表!$X12*0.15*0.8*0.05*'18年合同登记表'!AF12/'18年合同登记表'!$M12</f>
        <v>0</v>
      </c>
      <c r="AG11" s="122">
        <f>客服部最终提成计算表!$X12*0.15*0.8*0.02*'18年合同登记表'!AF12/'18年合同登记表'!$M12</f>
        <v>0</v>
      </c>
      <c r="AH11" s="122">
        <f>客服部最终提成计算表!$X12*0.15*0.8*0.85*'18年合同登记表'!AH12/'18年合同登记表'!$M12</f>
        <v>0</v>
      </c>
      <c r="AI11" s="122">
        <f>客服部最终提成计算表!$X12*0.15*0.8*0.08*'18年合同登记表'!AH12/'18年合同登记表'!$M12</f>
        <v>0</v>
      </c>
      <c r="AJ11" s="122">
        <f>客服部最终提成计算表!$X12*0.15*0.8*0.05*'18年合同登记表'!AH12/'18年合同登记表'!$M12</f>
        <v>0</v>
      </c>
      <c r="AK11" s="122">
        <f>客服部最终提成计算表!$X12*0.15*0.8*0.02*'18年合同登记表'!AH12/'18年合同登记表'!$M12</f>
        <v>0</v>
      </c>
      <c r="AL11" s="122">
        <f>客服部最终提成计算表!$X12*0.15*0.8*0.85*'18年合同登记表'!AJ12/'18年合同登记表'!$M12</f>
        <v>0</v>
      </c>
      <c r="AM11" s="122">
        <f>客服部最终提成计算表!$X12*0.15*0.8*0.08*'18年合同登记表'!AJ12/'18年合同登记表'!$M12</f>
        <v>0</v>
      </c>
      <c r="AN11" s="122">
        <f>客服部最终提成计算表!$X12*0.15*0.8*0.05*'18年合同登记表'!AJ12/'18年合同登记表'!$M12</f>
        <v>0</v>
      </c>
      <c r="AO11" s="122">
        <f>客服部最终提成计算表!$X12*0.15*0.8*0.02*'18年合同登记表'!AJ12/'18年合同登记表'!$M12</f>
        <v>0</v>
      </c>
      <c r="AP11" s="122">
        <f>客服部最终提成计算表!$X12*0.15*0.8*0.85*'18年合同登记表'!AL12/'18年合同登记表'!$M12</f>
        <v>0</v>
      </c>
      <c r="AQ11" s="122">
        <f>客服部最终提成计算表!$X12*0.15*0.8*0.08*'18年合同登记表'!AL12/'18年合同登记表'!$M12</f>
        <v>0</v>
      </c>
      <c r="AR11" s="122">
        <f>客服部最终提成计算表!$X12*0.15*0.8*0.05*'18年合同登记表'!AL12/'18年合同登记表'!$M12</f>
        <v>0</v>
      </c>
      <c r="AS11" s="122">
        <f>客服部最终提成计算表!$X12*0.15*0.8*0.02*'18年合同登记表'!AL12/'18年合同登记表'!$M12</f>
        <v>0</v>
      </c>
      <c r="AT11" s="122">
        <f>客服部最终提成计算表!$X12*0.15*0.8*0.85*'18年合同登记表'!AN12/'18年合同登记表'!$M12</f>
        <v>7197.12</v>
      </c>
      <c r="AU11" s="122">
        <f>客服部最终提成计算表!$X12*0.15*0.8*0.08*'18年合同登记表'!AN12/'18年合同登记表'!$M12</f>
        <v>677.376</v>
      </c>
      <c r="AV11" s="122">
        <f>客服部最终提成计算表!$X12*0.15*0.8*0.05*'18年合同登记表'!AN12/'18年合同登记表'!$M12</f>
        <v>423.36</v>
      </c>
      <c r="AW11" s="122">
        <f>客服部最终提成计算表!$X12*0.15*0.8*0.02*'18年合同登记表'!AN12/'18年合同登记表'!$M12</f>
        <v>169.344</v>
      </c>
      <c r="AX11" s="122">
        <f>客服部最终提成计算表!$X12*0.15*0.8*0.85*'18年合同登记表'!AP12/'18年合同登记表'!$M12</f>
        <v>0</v>
      </c>
      <c r="AY11" s="122">
        <f>客服部最终提成计算表!$X12*0.15*0.8*0.08*'18年合同登记表'!AP12/'18年合同登记表'!$M12</f>
        <v>0</v>
      </c>
      <c r="AZ11" s="122">
        <f>客服部最终提成计算表!$X12*0.15*0.8*0.05*'18年合同登记表'!AP12/'18年合同登记表'!$M12</f>
        <v>0</v>
      </c>
      <c r="BA11" s="131">
        <f>客服部最终提成计算表!$X12*0.15*0.8*0.02*'18年合同登记表'!AP12/'18年合同登记表'!$M12</f>
        <v>0</v>
      </c>
    </row>
    <row r="12" s="104" customFormat="1" ht="14.25" spans="1:53">
      <c r="A12" s="117">
        <v>8</v>
      </c>
      <c r="B12" s="118" t="str">
        <f>'18年合同登记表'!F13</f>
        <v>天一大厦</v>
      </c>
      <c r="C12" s="119" t="str">
        <f>'18年合同登记表'!H13</f>
        <v>NHY-20180104-L-01-01-030</v>
      </c>
      <c r="D12" s="119" t="str">
        <f>'18年合同登记表'!I13</f>
        <v>直燃机年度维保</v>
      </c>
      <c r="E12" s="120" t="str">
        <f>'18年合同登记表'!L13</f>
        <v>陈勇/</v>
      </c>
      <c r="F12" s="121">
        <f>客服部最终提成计算表!$X13*0.15*0.8*0.85*'18年合同登记表'!T13/'18年合同登记表'!$M13</f>
        <v>0</v>
      </c>
      <c r="G12" s="122">
        <f>客服部最终提成计算表!$X13*0.15*0.8*0.08*'18年合同登记表'!T13/'18年合同登记表'!$M13</f>
        <v>0</v>
      </c>
      <c r="H12" s="122">
        <f>客服部最终提成计算表!$X13*0.15*0.8*0.05*'18年合同登记表'!T13/'18年合同登记表'!$M13</f>
        <v>0</v>
      </c>
      <c r="I12" s="122">
        <f>客服部最终提成计算表!$X13*0.15*0.8*0.02*'18年合同登记表'!T13/'18年合同登记表'!$M13</f>
        <v>0</v>
      </c>
      <c r="J12" s="122">
        <f>客服部最终提成计算表!$X13*0.15*0.8*0.85*'18年合同登记表'!V13/'18年合同登记表'!$M13</f>
        <v>0</v>
      </c>
      <c r="K12" s="122">
        <f>客服部最终提成计算表!$X13*0.15*0.8*0.08*'18年合同登记表'!V13/'18年合同登记表'!$M13</f>
        <v>0</v>
      </c>
      <c r="L12" s="122">
        <f>客服部最终提成计算表!$X13*0.15*0.8*0.05*'18年合同登记表'!V13/'18年合同登记表'!$M13</f>
        <v>0</v>
      </c>
      <c r="M12" s="122">
        <f>客服部最终提成计算表!$X13*0.15*0.8*0.02*'18年合同登记表'!V13/'18年合同登记表'!$M13</f>
        <v>0</v>
      </c>
      <c r="N12" s="122">
        <f>客服部最终提成计算表!$X13*0.15*0.8*0.85*'18年合同登记表'!X13/'18年合同登记表'!$M13</f>
        <v>0</v>
      </c>
      <c r="O12" s="122">
        <f>客服部最终提成计算表!$X13*0.15*0.8*0.08*'18年合同登记表'!X13/'18年合同登记表'!$M13</f>
        <v>0</v>
      </c>
      <c r="P12" s="122">
        <f>客服部最终提成计算表!$X13*0.15*0.8*0.05*'18年合同登记表'!X13/'18年合同登记表'!$M13</f>
        <v>0</v>
      </c>
      <c r="Q12" s="122">
        <f>客服部最终提成计算表!$X13*0.15*0.8*0.02*'18年合同登记表'!X13/'18年合同登记表'!$M13</f>
        <v>0</v>
      </c>
      <c r="R12" s="122">
        <f>客服部最终提成计算表!$X13*0.15*0.8*0.85*'18年合同登记表'!Z13/'18年合同登记表'!$M13</f>
        <v>0</v>
      </c>
      <c r="S12" s="122">
        <f>客服部最终提成计算表!$X13*0.15*0.8*0.08*'18年合同登记表'!Z13/'18年合同登记表'!$M13</f>
        <v>0</v>
      </c>
      <c r="T12" s="122">
        <f>客服部最终提成计算表!$X13*0.15*0.8*0.05*'18年合同登记表'!Z13/'18年合同登记表'!$M13</f>
        <v>0</v>
      </c>
      <c r="U12" s="122">
        <f>客服部最终提成计算表!$X13*0.15*0.8*0.02*'18年合同登记表'!Z13/'18年合同登记表'!$M13</f>
        <v>0</v>
      </c>
      <c r="V12" s="122">
        <f>客服部最终提成计算表!$X13*0.15*0.8*0.85*'18年合同登记表'!AB13/'18年合同登记表'!$M13</f>
        <v>1249.5</v>
      </c>
      <c r="W12" s="122">
        <f>客服部最终提成计算表!$X13*0.15*0.8*0.08*'18年合同登记表'!AB13/'18年合同登记表'!$M13</f>
        <v>117.6</v>
      </c>
      <c r="X12" s="122">
        <f>客服部最终提成计算表!$X13*0.15*0.8*0.05*'18年合同登记表'!AB13/'18年合同登记表'!$M13</f>
        <v>73.5</v>
      </c>
      <c r="Y12" s="122">
        <f>客服部最终提成计算表!$X13*0.15*0.8*0.02*'18年合同登记表'!AB13/'18年合同登记表'!$M13</f>
        <v>29.4</v>
      </c>
      <c r="Z12" s="122">
        <f>客服部最终提成计算表!$X13*0.15*0.8*0.85*'18年合同登记表'!AD13/'18年合同登记表'!$M13</f>
        <v>0</v>
      </c>
      <c r="AA12" s="122">
        <f>客服部最终提成计算表!$X13*0.15*0.8*0.08*'18年合同登记表'!AD13/'18年合同登记表'!$M13</f>
        <v>0</v>
      </c>
      <c r="AB12" s="122">
        <f>客服部最终提成计算表!$X13*0.15*0.8*0.05*'18年合同登记表'!AD13/'18年合同登记表'!$M13</f>
        <v>0</v>
      </c>
      <c r="AC12" s="122">
        <f>客服部最终提成计算表!$X13*0.15*0.8*0.02*'18年合同登记表'!AD13/'18年合同登记表'!$M13</f>
        <v>0</v>
      </c>
      <c r="AD12" s="122">
        <f>客服部最终提成计算表!$X13*0.15*0.8*0.85*'18年合同登记表'!AF13/'18年合同登记表'!$M13</f>
        <v>0</v>
      </c>
      <c r="AE12" s="122">
        <f>客服部最终提成计算表!$X13*0.15*0.8*0.08*'18年合同登记表'!AF13/'18年合同登记表'!$M13</f>
        <v>0</v>
      </c>
      <c r="AF12" s="122">
        <f>客服部最终提成计算表!$X13*0.15*0.8*0.05*'18年合同登记表'!AF13/'18年合同登记表'!$M13</f>
        <v>0</v>
      </c>
      <c r="AG12" s="122">
        <f>客服部最终提成计算表!$X13*0.15*0.8*0.02*'18年合同登记表'!AF13/'18年合同登记表'!$M13</f>
        <v>0</v>
      </c>
      <c r="AH12" s="122">
        <f>客服部最终提成计算表!$X13*0.15*0.8*0.85*'18年合同登记表'!AH13/'18年合同登记表'!$M13</f>
        <v>0</v>
      </c>
      <c r="AI12" s="122">
        <f>客服部最终提成计算表!$X13*0.15*0.8*0.08*'18年合同登记表'!AH13/'18年合同登记表'!$M13</f>
        <v>0</v>
      </c>
      <c r="AJ12" s="122">
        <f>客服部最终提成计算表!$X13*0.15*0.8*0.05*'18年合同登记表'!AH13/'18年合同登记表'!$M13</f>
        <v>0</v>
      </c>
      <c r="AK12" s="122">
        <f>客服部最终提成计算表!$X13*0.15*0.8*0.02*'18年合同登记表'!AH13/'18年合同登记表'!$M13</f>
        <v>0</v>
      </c>
      <c r="AL12" s="122">
        <f>客服部最终提成计算表!$X13*0.15*0.8*0.85*'18年合同登记表'!AJ13/'18年合同登记表'!$M13</f>
        <v>0</v>
      </c>
      <c r="AM12" s="122">
        <f>客服部最终提成计算表!$X13*0.15*0.8*0.08*'18年合同登记表'!AJ13/'18年合同登记表'!$M13</f>
        <v>0</v>
      </c>
      <c r="AN12" s="122">
        <f>客服部最终提成计算表!$X13*0.15*0.8*0.05*'18年合同登记表'!AJ13/'18年合同登记表'!$M13</f>
        <v>0</v>
      </c>
      <c r="AO12" s="122">
        <f>客服部最终提成计算表!$X13*0.15*0.8*0.02*'18年合同登记表'!AJ13/'18年合同登记表'!$M13</f>
        <v>0</v>
      </c>
      <c r="AP12" s="122">
        <f>客服部最终提成计算表!$X13*0.15*0.8*0.85*'18年合同登记表'!AL13/'18年合同登记表'!$M13</f>
        <v>2499</v>
      </c>
      <c r="AQ12" s="122">
        <f>客服部最终提成计算表!$X13*0.15*0.8*0.08*'18年合同登记表'!AL13/'18年合同登记表'!$M13</f>
        <v>235.2</v>
      </c>
      <c r="AR12" s="122">
        <f>客服部最终提成计算表!$X13*0.15*0.8*0.05*'18年合同登记表'!AL13/'18年合同登记表'!$M13</f>
        <v>147</v>
      </c>
      <c r="AS12" s="122">
        <f>客服部最终提成计算表!$X13*0.15*0.8*0.02*'18年合同登记表'!AL13/'18年合同登记表'!$M13</f>
        <v>58.8</v>
      </c>
      <c r="AT12" s="122">
        <f>客服部最终提成计算表!$X13*0.15*0.8*0.85*'18年合同登记表'!AN13/'18年合同登记表'!$M13</f>
        <v>0</v>
      </c>
      <c r="AU12" s="122">
        <f>客服部最终提成计算表!$X13*0.15*0.8*0.08*'18年合同登记表'!AN13/'18年合同登记表'!$M13</f>
        <v>0</v>
      </c>
      <c r="AV12" s="122">
        <f>客服部最终提成计算表!$X13*0.15*0.8*0.05*'18年合同登记表'!AN13/'18年合同登记表'!$M13</f>
        <v>0</v>
      </c>
      <c r="AW12" s="122">
        <f>客服部最终提成计算表!$X13*0.15*0.8*0.02*'18年合同登记表'!AN13/'18年合同登记表'!$M13</f>
        <v>0</v>
      </c>
      <c r="AX12" s="122">
        <f>客服部最终提成计算表!$X13*0.15*0.8*0.85*'18年合同登记表'!AP13/'18年合同登记表'!$M13</f>
        <v>0</v>
      </c>
      <c r="AY12" s="122">
        <f>客服部最终提成计算表!$X13*0.15*0.8*0.08*'18年合同登记表'!AP13/'18年合同登记表'!$M13</f>
        <v>0</v>
      </c>
      <c r="AZ12" s="122">
        <f>客服部最终提成计算表!$X13*0.15*0.8*0.05*'18年合同登记表'!AP13/'18年合同登记表'!$M13</f>
        <v>0</v>
      </c>
      <c r="BA12" s="131">
        <f>客服部最终提成计算表!$X13*0.15*0.8*0.02*'18年合同登记表'!AP13/'18年合同登记表'!$M13</f>
        <v>0</v>
      </c>
    </row>
    <row r="13" s="104" customFormat="1" ht="14.25" spans="1:53">
      <c r="A13" s="117">
        <v>9</v>
      </c>
      <c r="B13" s="118" t="str">
        <f>'18年合同登记表'!F14</f>
        <v>中科华誉</v>
      </c>
      <c r="C13" s="119" t="str">
        <f>'18年合同登记表'!H14</f>
        <v>没有编号</v>
      </c>
      <c r="D13" s="119" t="str">
        <f>'18年合同登记表'!I14</f>
        <v>田村2号站更换压缩机</v>
      </c>
      <c r="E13" s="120" t="str">
        <f>'18年合同登记表'!L14</f>
        <v>李劲</v>
      </c>
      <c r="F13" s="121">
        <f>客服部最终提成计算表!$X14*0.15*0.8*0.85*'18年合同登记表'!T14/'18年合同登记表'!$M14</f>
        <v>2244</v>
      </c>
      <c r="G13" s="122">
        <f>客服部最终提成计算表!$X14*0.15*0.8*0.08*'18年合同登记表'!T14/'18年合同登记表'!$M14</f>
        <v>211.2</v>
      </c>
      <c r="H13" s="122">
        <f>客服部最终提成计算表!$X14*0.15*0.8*0.05*'18年合同登记表'!T14/'18年合同登记表'!$M14</f>
        <v>132</v>
      </c>
      <c r="I13" s="122">
        <f>客服部最终提成计算表!$X14*0.15*0.8*0.02*'18年合同登记表'!T14/'18年合同登记表'!$M14</f>
        <v>52.8</v>
      </c>
      <c r="J13" s="122">
        <f>客服部最终提成计算表!$X14*0.15*0.8*0.85*'18年合同登记表'!V14/'18年合同登记表'!$M14</f>
        <v>0</v>
      </c>
      <c r="K13" s="122">
        <f>客服部最终提成计算表!$X14*0.15*0.8*0.08*'18年合同登记表'!V14/'18年合同登记表'!$M14</f>
        <v>0</v>
      </c>
      <c r="L13" s="122">
        <f>客服部最终提成计算表!$X14*0.15*0.8*0.05*'18年合同登记表'!V14/'18年合同登记表'!$M14</f>
        <v>0</v>
      </c>
      <c r="M13" s="122">
        <f>客服部最终提成计算表!$X14*0.15*0.8*0.02*'18年合同登记表'!V14/'18年合同登记表'!$M14</f>
        <v>0</v>
      </c>
      <c r="N13" s="122">
        <f>客服部最终提成计算表!$X14*0.15*0.8*0.85*'18年合同登记表'!X14/'18年合同登记表'!$M14</f>
        <v>0</v>
      </c>
      <c r="O13" s="122">
        <f>客服部最终提成计算表!$X14*0.15*0.8*0.08*'18年合同登记表'!X14/'18年合同登记表'!$M14</f>
        <v>0</v>
      </c>
      <c r="P13" s="122">
        <f>客服部最终提成计算表!$X14*0.15*0.8*0.05*'18年合同登记表'!X14/'18年合同登记表'!$M14</f>
        <v>0</v>
      </c>
      <c r="Q13" s="122">
        <f>客服部最终提成计算表!$X14*0.15*0.8*0.02*'18年合同登记表'!X14/'18年合同登记表'!$M14</f>
        <v>0</v>
      </c>
      <c r="R13" s="122">
        <f>客服部最终提成计算表!$X14*0.15*0.8*0.85*'18年合同登记表'!Z14/'18年合同登记表'!$M14</f>
        <v>0</v>
      </c>
      <c r="S13" s="122">
        <f>客服部最终提成计算表!$X14*0.15*0.8*0.08*'18年合同登记表'!Z14/'18年合同登记表'!$M14</f>
        <v>0</v>
      </c>
      <c r="T13" s="122">
        <f>客服部最终提成计算表!$X14*0.15*0.8*0.05*'18年合同登记表'!Z14/'18年合同登记表'!$M14</f>
        <v>0</v>
      </c>
      <c r="U13" s="122">
        <f>客服部最终提成计算表!$X14*0.15*0.8*0.02*'18年合同登记表'!Z14/'18年合同登记表'!$M14</f>
        <v>0</v>
      </c>
      <c r="V13" s="122">
        <f>客服部最终提成计算表!$X14*0.15*0.8*0.85*'18年合同登记表'!AB14/'18年合同登记表'!$M14</f>
        <v>0</v>
      </c>
      <c r="W13" s="122">
        <f>客服部最终提成计算表!$X14*0.15*0.8*0.08*'18年合同登记表'!AB14/'18年合同登记表'!$M14</f>
        <v>0</v>
      </c>
      <c r="X13" s="122">
        <f>客服部最终提成计算表!$X14*0.15*0.8*0.05*'18年合同登记表'!AB14/'18年合同登记表'!$M14</f>
        <v>0</v>
      </c>
      <c r="Y13" s="122">
        <f>客服部最终提成计算表!$X14*0.15*0.8*0.02*'18年合同登记表'!AB14/'18年合同登记表'!$M14</f>
        <v>0</v>
      </c>
      <c r="Z13" s="122">
        <f>客服部最终提成计算表!$X14*0.15*0.8*0.85*'18年合同登记表'!AD14/'18年合同登记表'!$M14</f>
        <v>0</v>
      </c>
      <c r="AA13" s="122">
        <f>客服部最终提成计算表!$X14*0.15*0.8*0.08*'18年合同登记表'!AD14/'18年合同登记表'!$M14</f>
        <v>0</v>
      </c>
      <c r="AB13" s="122">
        <f>客服部最终提成计算表!$X14*0.15*0.8*0.05*'18年合同登记表'!AD14/'18年合同登记表'!$M14</f>
        <v>0</v>
      </c>
      <c r="AC13" s="122">
        <f>客服部最终提成计算表!$X14*0.15*0.8*0.02*'18年合同登记表'!AD14/'18年合同登记表'!$M14</f>
        <v>0</v>
      </c>
      <c r="AD13" s="122">
        <f>客服部最终提成计算表!$X14*0.15*0.8*0.85*'18年合同登记表'!AF14/'18年合同登记表'!$M14</f>
        <v>0</v>
      </c>
      <c r="AE13" s="122">
        <f>客服部最终提成计算表!$X14*0.15*0.8*0.08*'18年合同登记表'!AF14/'18年合同登记表'!$M14</f>
        <v>0</v>
      </c>
      <c r="AF13" s="122">
        <f>客服部最终提成计算表!$X14*0.15*0.8*0.05*'18年合同登记表'!AF14/'18年合同登记表'!$M14</f>
        <v>0</v>
      </c>
      <c r="AG13" s="122">
        <f>客服部最终提成计算表!$X14*0.15*0.8*0.02*'18年合同登记表'!AF14/'18年合同登记表'!$M14</f>
        <v>0</v>
      </c>
      <c r="AH13" s="122">
        <f>客服部最终提成计算表!$X14*0.15*0.8*0.85*'18年合同登记表'!AH14/'18年合同登记表'!$M14</f>
        <v>0</v>
      </c>
      <c r="AI13" s="122">
        <f>客服部最终提成计算表!$X14*0.15*0.8*0.08*'18年合同登记表'!AH14/'18年合同登记表'!$M14</f>
        <v>0</v>
      </c>
      <c r="AJ13" s="122">
        <f>客服部最终提成计算表!$X14*0.15*0.8*0.05*'18年合同登记表'!AH14/'18年合同登记表'!$M14</f>
        <v>0</v>
      </c>
      <c r="AK13" s="122">
        <f>客服部最终提成计算表!$X14*0.15*0.8*0.02*'18年合同登记表'!AH14/'18年合同登记表'!$M14</f>
        <v>0</v>
      </c>
      <c r="AL13" s="122">
        <f>客服部最终提成计算表!$X14*0.15*0.8*0.85*'18年合同登记表'!AJ14/'18年合同登记表'!$M14</f>
        <v>0</v>
      </c>
      <c r="AM13" s="122">
        <f>客服部最终提成计算表!$X14*0.15*0.8*0.08*'18年合同登记表'!AJ14/'18年合同登记表'!$M14</f>
        <v>0</v>
      </c>
      <c r="AN13" s="122">
        <f>客服部最终提成计算表!$X14*0.15*0.8*0.05*'18年合同登记表'!AJ14/'18年合同登记表'!$M14</f>
        <v>0</v>
      </c>
      <c r="AO13" s="122">
        <f>客服部最终提成计算表!$X14*0.15*0.8*0.02*'18年合同登记表'!AJ14/'18年合同登记表'!$M14</f>
        <v>0</v>
      </c>
      <c r="AP13" s="122">
        <f>客服部最终提成计算表!$X14*0.15*0.8*0.85*'18年合同登记表'!AL14/'18年合同登记表'!$M14</f>
        <v>0</v>
      </c>
      <c r="AQ13" s="122">
        <f>客服部最终提成计算表!$X14*0.15*0.8*0.08*'18年合同登记表'!AL14/'18年合同登记表'!$M14</f>
        <v>0</v>
      </c>
      <c r="AR13" s="122">
        <f>客服部最终提成计算表!$X14*0.15*0.8*0.05*'18年合同登记表'!AL14/'18年合同登记表'!$M14</f>
        <v>0</v>
      </c>
      <c r="AS13" s="122">
        <f>客服部最终提成计算表!$X14*0.15*0.8*0.02*'18年合同登记表'!AL14/'18年合同登记表'!$M14</f>
        <v>0</v>
      </c>
      <c r="AT13" s="122">
        <f>客服部最终提成计算表!$X14*0.15*0.8*0.85*'18年合同登记表'!AN14/'18年合同登记表'!$M14</f>
        <v>0</v>
      </c>
      <c r="AU13" s="122">
        <f>客服部最终提成计算表!$X14*0.15*0.8*0.08*'18年合同登记表'!AN14/'18年合同登记表'!$M14</f>
        <v>0</v>
      </c>
      <c r="AV13" s="122">
        <f>客服部最终提成计算表!$X14*0.15*0.8*0.05*'18年合同登记表'!AN14/'18年合同登记表'!$M14</f>
        <v>0</v>
      </c>
      <c r="AW13" s="122">
        <f>客服部最终提成计算表!$X14*0.15*0.8*0.02*'18年合同登记表'!AN14/'18年合同登记表'!$M14</f>
        <v>0</v>
      </c>
      <c r="AX13" s="122">
        <f>客服部最终提成计算表!$X14*0.15*0.8*0.85*'18年合同登记表'!AP14/'18年合同登记表'!$M14</f>
        <v>0</v>
      </c>
      <c r="AY13" s="122">
        <f>客服部最终提成计算表!$X14*0.15*0.8*0.08*'18年合同登记表'!AP14/'18年合同登记表'!$M14</f>
        <v>0</v>
      </c>
      <c r="AZ13" s="122">
        <f>客服部最终提成计算表!$X14*0.15*0.8*0.05*'18年合同登记表'!AP14/'18年合同登记表'!$M14</f>
        <v>0</v>
      </c>
      <c r="BA13" s="131">
        <f>客服部最终提成计算表!$X14*0.15*0.8*0.02*'18年合同登记表'!AP14/'18年合同登记表'!$M14</f>
        <v>0</v>
      </c>
    </row>
    <row r="14" s="104" customFormat="1" ht="14.25" spans="1:53">
      <c r="A14" s="117">
        <v>10</v>
      </c>
      <c r="B14" s="118" t="str">
        <f>'18年合同登记表'!F15</f>
        <v>成都妇女儿童中心</v>
      </c>
      <c r="C14" s="119" t="str">
        <f>'18年合同登记表'!H15</f>
        <v>HCFE18-002</v>
      </c>
      <c r="D14" s="119" t="str">
        <f>'18年合同登记表'!I15</f>
        <v>直燃机冷水机组维护保养</v>
      </c>
      <c r="E14" s="120" t="str">
        <f>'18年合同登记表'!L15</f>
        <v>兰健/</v>
      </c>
      <c r="F14" s="121">
        <f>客服部最终提成计算表!$X15*0.15*0.8*0.85*'18年合同登记表'!T15/'18年合同登记表'!$M15</f>
        <v>0</v>
      </c>
      <c r="G14" s="122">
        <f>客服部最终提成计算表!$X15*0.15*0.8*0.08*'18年合同登记表'!T15/'18年合同登记表'!$M15</f>
        <v>0</v>
      </c>
      <c r="H14" s="122">
        <f>客服部最终提成计算表!$X15*0.15*0.8*0.05*'18年合同登记表'!T15/'18年合同登记表'!$M15</f>
        <v>0</v>
      </c>
      <c r="I14" s="122">
        <f>客服部最终提成计算表!$X15*0.15*0.8*0.02*'18年合同登记表'!T15/'18年合同登记表'!$M15</f>
        <v>0</v>
      </c>
      <c r="J14" s="122">
        <f>客服部最终提成计算表!$X15*0.15*0.8*0.85*'18年合同登记表'!V15/'18年合同登记表'!$M15</f>
        <v>0</v>
      </c>
      <c r="K14" s="122">
        <f>客服部最终提成计算表!$X15*0.15*0.8*0.08*'18年合同登记表'!V15/'18年合同登记表'!$M15</f>
        <v>0</v>
      </c>
      <c r="L14" s="122">
        <f>客服部最终提成计算表!$X15*0.15*0.8*0.05*'18年合同登记表'!V15/'18年合同登记表'!$M15</f>
        <v>0</v>
      </c>
      <c r="M14" s="122">
        <f>客服部最终提成计算表!$X15*0.15*0.8*0.02*'18年合同登记表'!V15/'18年合同登记表'!$M15</f>
        <v>0</v>
      </c>
      <c r="N14" s="122">
        <f>客服部最终提成计算表!$X15*0.15*0.8*0.85*'18年合同登记表'!X15/'18年合同登记表'!$M15</f>
        <v>1917.6</v>
      </c>
      <c r="O14" s="122">
        <f>客服部最终提成计算表!$X15*0.15*0.8*0.08*'18年合同登记表'!X15/'18年合同登记表'!$M15</f>
        <v>180.48</v>
      </c>
      <c r="P14" s="122">
        <f>客服部最终提成计算表!$X15*0.15*0.8*0.05*'18年合同登记表'!X15/'18年合同登记表'!$M15</f>
        <v>112.8</v>
      </c>
      <c r="Q14" s="122">
        <f>客服部最终提成计算表!$X15*0.15*0.8*0.02*'18年合同登记表'!X15/'18年合同登记表'!$M15</f>
        <v>45.12</v>
      </c>
      <c r="R14" s="122">
        <f>客服部最终提成计算表!$X15*0.15*0.8*0.85*'18年合同登记表'!Z15/'18年合同登记表'!$M15</f>
        <v>0</v>
      </c>
      <c r="S14" s="122">
        <f>客服部最终提成计算表!$X15*0.15*0.8*0.08*'18年合同登记表'!Z15/'18年合同登记表'!$M15</f>
        <v>0</v>
      </c>
      <c r="T14" s="122">
        <f>客服部最终提成计算表!$X15*0.15*0.8*0.05*'18年合同登记表'!Z15/'18年合同登记表'!$M15</f>
        <v>0</v>
      </c>
      <c r="U14" s="122">
        <f>客服部最终提成计算表!$X15*0.15*0.8*0.02*'18年合同登记表'!Z15/'18年合同登记表'!$M15</f>
        <v>0</v>
      </c>
      <c r="V14" s="122">
        <f>客服部最终提成计算表!$X15*0.15*0.8*0.85*'18年合同登记表'!AB15/'18年合同登记表'!$M15</f>
        <v>0</v>
      </c>
      <c r="W14" s="122">
        <f>客服部最终提成计算表!$X15*0.15*0.8*0.08*'18年合同登记表'!AB15/'18年合同登记表'!$M15</f>
        <v>0</v>
      </c>
      <c r="X14" s="122">
        <f>客服部最终提成计算表!$X15*0.15*0.8*0.05*'18年合同登记表'!AB15/'18年合同登记表'!$M15</f>
        <v>0</v>
      </c>
      <c r="Y14" s="122">
        <f>客服部最终提成计算表!$X15*0.15*0.8*0.02*'18年合同登记表'!AB15/'18年合同登记表'!$M15</f>
        <v>0</v>
      </c>
      <c r="Z14" s="122">
        <f>客服部最终提成计算表!$X15*0.15*0.8*0.85*'18年合同登记表'!AD15/'18年合同登记表'!$M15</f>
        <v>0</v>
      </c>
      <c r="AA14" s="122">
        <f>客服部最终提成计算表!$X15*0.15*0.8*0.08*'18年合同登记表'!AD15/'18年合同登记表'!$M15</f>
        <v>0</v>
      </c>
      <c r="AB14" s="122">
        <f>客服部最终提成计算表!$X15*0.15*0.8*0.05*'18年合同登记表'!AD15/'18年合同登记表'!$M15</f>
        <v>0</v>
      </c>
      <c r="AC14" s="122">
        <f>客服部最终提成计算表!$X15*0.15*0.8*0.02*'18年合同登记表'!AD15/'18年合同登记表'!$M15</f>
        <v>0</v>
      </c>
      <c r="AD14" s="122">
        <f>客服部最终提成计算表!$X15*0.15*0.8*0.85*'18年合同登记表'!AF15/'18年合同登记表'!$M15</f>
        <v>0</v>
      </c>
      <c r="AE14" s="122">
        <f>客服部最终提成计算表!$X15*0.15*0.8*0.08*'18年合同登记表'!AF15/'18年合同登记表'!$M15</f>
        <v>0</v>
      </c>
      <c r="AF14" s="122">
        <f>客服部最终提成计算表!$X15*0.15*0.8*0.05*'18年合同登记表'!AF15/'18年合同登记表'!$M15</f>
        <v>0</v>
      </c>
      <c r="AG14" s="122">
        <f>客服部最终提成计算表!$X15*0.15*0.8*0.02*'18年合同登记表'!AF15/'18年合同登记表'!$M15</f>
        <v>0</v>
      </c>
      <c r="AH14" s="122">
        <f>客服部最终提成计算表!$X15*0.15*0.8*0.85*'18年合同登记表'!AH15/'18年合同登记表'!$M15</f>
        <v>1917.6</v>
      </c>
      <c r="AI14" s="122">
        <f>客服部最终提成计算表!$X15*0.15*0.8*0.08*'18年合同登记表'!AH15/'18年合同登记表'!$M15</f>
        <v>180.48</v>
      </c>
      <c r="AJ14" s="122">
        <f>客服部最终提成计算表!$X15*0.15*0.8*0.05*'18年合同登记表'!AH15/'18年合同登记表'!$M15</f>
        <v>112.8</v>
      </c>
      <c r="AK14" s="122">
        <f>客服部最终提成计算表!$X15*0.15*0.8*0.02*'18年合同登记表'!AH15/'18年合同登记表'!$M15</f>
        <v>45.12</v>
      </c>
      <c r="AL14" s="122">
        <f>客服部最终提成计算表!$X15*0.15*0.8*0.85*'18年合同登记表'!AJ15/'18年合同登记表'!$M15</f>
        <v>0</v>
      </c>
      <c r="AM14" s="122">
        <f>客服部最终提成计算表!$X15*0.15*0.8*0.08*'18年合同登记表'!AJ15/'18年合同登记表'!$M15</f>
        <v>0</v>
      </c>
      <c r="AN14" s="122">
        <f>客服部最终提成计算表!$X15*0.15*0.8*0.05*'18年合同登记表'!AJ15/'18年合同登记表'!$M15</f>
        <v>0</v>
      </c>
      <c r="AO14" s="122">
        <f>客服部最终提成计算表!$X15*0.15*0.8*0.02*'18年合同登记表'!AJ15/'18年合同登记表'!$M15</f>
        <v>0</v>
      </c>
      <c r="AP14" s="122">
        <f>客服部最终提成计算表!$X15*0.15*0.8*0.85*'18年合同登记表'!AL15/'18年合同登记表'!$M15</f>
        <v>0</v>
      </c>
      <c r="AQ14" s="122">
        <f>客服部最终提成计算表!$X15*0.15*0.8*0.08*'18年合同登记表'!AL15/'18年合同登记表'!$M15</f>
        <v>0</v>
      </c>
      <c r="AR14" s="122">
        <f>客服部最终提成计算表!$X15*0.15*0.8*0.05*'18年合同登记表'!AL15/'18年合同登记表'!$M15</f>
        <v>0</v>
      </c>
      <c r="AS14" s="122">
        <f>客服部最终提成计算表!$X15*0.15*0.8*0.02*'18年合同登记表'!AL15/'18年合同登记表'!$M15</f>
        <v>0</v>
      </c>
      <c r="AT14" s="122">
        <f>客服部最终提成计算表!$X15*0.15*0.8*0.85*'18年合同登记表'!AN15/'18年合同登记表'!$M15</f>
        <v>0</v>
      </c>
      <c r="AU14" s="122">
        <f>客服部最终提成计算表!$X15*0.15*0.8*0.08*'18年合同登记表'!AN15/'18年合同登记表'!$M15</f>
        <v>0</v>
      </c>
      <c r="AV14" s="122">
        <f>客服部最终提成计算表!$X15*0.15*0.8*0.05*'18年合同登记表'!AN15/'18年合同登记表'!$M15</f>
        <v>0</v>
      </c>
      <c r="AW14" s="122">
        <f>客服部最终提成计算表!$X15*0.15*0.8*0.02*'18年合同登记表'!AN15/'18年合同登记表'!$M15</f>
        <v>0</v>
      </c>
      <c r="AX14" s="122">
        <f>客服部最终提成计算表!$X15*0.15*0.8*0.85*'18年合同登记表'!AP15/'18年合同登记表'!$M15</f>
        <v>0</v>
      </c>
      <c r="AY14" s="122">
        <f>客服部最终提成计算表!$X15*0.15*0.8*0.08*'18年合同登记表'!AP15/'18年合同登记表'!$M15</f>
        <v>0</v>
      </c>
      <c r="AZ14" s="122">
        <f>客服部最终提成计算表!$X15*0.15*0.8*0.05*'18年合同登记表'!AP15/'18年合同登记表'!$M15</f>
        <v>0</v>
      </c>
      <c r="BA14" s="131">
        <f>客服部最终提成计算表!$X15*0.15*0.8*0.02*'18年合同登记表'!AP15/'18年合同登记表'!$M15</f>
        <v>0</v>
      </c>
    </row>
    <row r="15" s="104" customFormat="1" ht="14.25" spans="1:53">
      <c r="A15" s="117">
        <v>11</v>
      </c>
      <c r="B15" s="118" t="str">
        <f>'18年合同登记表'!F16</f>
        <v>泰丰国际广场</v>
      </c>
      <c r="C15" s="119" t="str">
        <f>'18年合同登记表'!H16</f>
        <v>NH-20171101-Q-01-01-001</v>
      </c>
      <c r="D15" s="119" t="str">
        <f>'18年合同登记表'!I16</f>
        <v>空调年度维保</v>
      </c>
      <c r="E15" s="120" t="str">
        <f>'18年合同登记表'!L16</f>
        <v>兰健/</v>
      </c>
      <c r="F15" s="121">
        <f>客服部最终提成计算表!$X16*0.15*0.8*0.85*'18年合同登记表'!T16/'18年合同登记表'!$M16</f>
        <v>4488</v>
      </c>
      <c r="G15" s="122">
        <f>客服部最终提成计算表!$X16*0.15*0.8*0.08*'18年合同登记表'!T16/'18年合同登记表'!$M16</f>
        <v>422.4</v>
      </c>
      <c r="H15" s="122">
        <f>客服部最终提成计算表!$X16*0.15*0.8*0.05*'18年合同登记表'!T16/'18年合同登记表'!$M16</f>
        <v>264</v>
      </c>
      <c r="I15" s="122">
        <f>客服部最终提成计算表!$X16*0.15*0.8*0.02*'18年合同登记表'!T16/'18年合同登记表'!$M16</f>
        <v>105.6</v>
      </c>
      <c r="J15" s="122">
        <f>客服部最终提成计算表!$X16*0.15*0.8*0.85*'18年合同登记表'!V16/'18年合同登记表'!$M16</f>
        <v>0</v>
      </c>
      <c r="K15" s="122">
        <f>客服部最终提成计算表!$X16*0.15*0.8*0.08*'18年合同登记表'!V16/'18年合同登记表'!$M16</f>
        <v>0</v>
      </c>
      <c r="L15" s="122">
        <f>客服部最终提成计算表!$X16*0.15*0.8*0.05*'18年合同登记表'!V16/'18年合同登记表'!$M16</f>
        <v>0</v>
      </c>
      <c r="M15" s="122">
        <f>客服部最终提成计算表!$X16*0.15*0.8*0.02*'18年合同登记表'!V16/'18年合同登记表'!$M16</f>
        <v>0</v>
      </c>
      <c r="N15" s="122">
        <f>客服部最终提成计算表!$X16*0.15*0.8*0.85*'18年合同登记表'!X16/'18年合同登记表'!$M16</f>
        <v>0</v>
      </c>
      <c r="O15" s="122">
        <f>客服部最终提成计算表!$X16*0.15*0.8*0.08*'18年合同登记表'!X16/'18年合同登记表'!$M16</f>
        <v>0</v>
      </c>
      <c r="P15" s="122">
        <f>客服部最终提成计算表!$X16*0.15*0.8*0.05*'18年合同登记表'!X16/'18年合同登记表'!$M16</f>
        <v>0</v>
      </c>
      <c r="Q15" s="122">
        <f>客服部最终提成计算表!$X16*0.15*0.8*0.02*'18年合同登记表'!X16/'18年合同登记表'!$M16</f>
        <v>0</v>
      </c>
      <c r="R15" s="122">
        <f>客服部最终提成计算表!$X16*0.15*0.8*0.85*'18年合同登记表'!Z16/'18年合同登记表'!$M16</f>
        <v>0</v>
      </c>
      <c r="S15" s="122">
        <f>客服部最终提成计算表!$X16*0.15*0.8*0.08*'18年合同登记表'!Z16/'18年合同登记表'!$M16</f>
        <v>0</v>
      </c>
      <c r="T15" s="122">
        <f>客服部最终提成计算表!$X16*0.15*0.8*0.05*'18年合同登记表'!Z16/'18年合同登记表'!$M16</f>
        <v>0</v>
      </c>
      <c r="U15" s="122">
        <f>客服部最终提成计算表!$X16*0.15*0.8*0.02*'18年合同登记表'!Z16/'18年合同登记表'!$M16</f>
        <v>0</v>
      </c>
      <c r="V15" s="122">
        <f>客服部最终提成计算表!$X16*0.15*0.8*0.85*'18年合同登记表'!AB16/'18年合同登记表'!$M16</f>
        <v>0</v>
      </c>
      <c r="W15" s="122">
        <f>客服部最终提成计算表!$X16*0.15*0.8*0.08*'18年合同登记表'!AB16/'18年合同登记表'!$M16</f>
        <v>0</v>
      </c>
      <c r="X15" s="122">
        <f>客服部最终提成计算表!$X16*0.15*0.8*0.05*'18年合同登记表'!AB16/'18年合同登记表'!$M16</f>
        <v>0</v>
      </c>
      <c r="Y15" s="122">
        <f>客服部最终提成计算表!$X16*0.15*0.8*0.02*'18年合同登记表'!AB16/'18年合同登记表'!$M16</f>
        <v>0</v>
      </c>
      <c r="Z15" s="122">
        <f>客服部最终提成计算表!$X16*0.15*0.8*0.85*'18年合同登记表'!AD16/'18年合同登记表'!$M16</f>
        <v>0</v>
      </c>
      <c r="AA15" s="122">
        <f>客服部最终提成计算表!$X16*0.15*0.8*0.08*'18年合同登记表'!AD16/'18年合同登记表'!$M16</f>
        <v>0</v>
      </c>
      <c r="AB15" s="122">
        <f>客服部最终提成计算表!$X16*0.15*0.8*0.05*'18年合同登记表'!AD16/'18年合同登记表'!$M16</f>
        <v>0</v>
      </c>
      <c r="AC15" s="122">
        <f>客服部最终提成计算表!$X16*0.15*0.8*0.02*'18年合同登记表'!AD16/'18年合同登记表'!$M16</f>
        <v>0</v>
      </c>
      <c r="AD15" s="122">
        <f>客服部最终提成计算表!$X16*0.15*0.8*0.85*'18年合同登记表'!AF16/'18年合同登记表'!$M16</f>
        <v>2244</v>
      </c>
      <c r="AE15" s="122">
        <f>客服部最终提成计算表!$X16*0.15*0.8*0.08*'18年合同登记表'!AF16/'18年合同登记表'!$M16</f>
        <v>211.2</v>
      </c>
      <c r="AF15" s="122">
        <f>客服部最终提成计算表!$X16*0.15*0.8*0.05*'18年合同登记表'!AF16/'18年合同登记表'!$M16</f>
        <v>132</v>
      </c>
      <c r="AG15" s="122">
        <f>客服部最终提成计算表!$X16*0.15*0.8*0.02*'18年合同登记表'!AF16/'18年合同登记表'!$M16</f>
        <v>52.8</v>
      </c>
      <c r="AH15" s="122">
        <f>客服部最终提成计算表!$X16*0.15*0.8*0.85*'18年合同登记表'!AH16/'18年合同登记表'!$M16</f>
        <v>0</v>
      </c>
      <c r="AI15" s="122">
        <f>客服部最终提成计算表!$X16*0.15*0.8*0.08*'18年合同登记表'!AH16/'18年合同登记表'!$M16</f>
        <v>0</v>
      </c>
      <c r="AJ15" s="122">
        <f>客服部最终提成计算表!$X16*0.15*0.8*0.05*'18年合同登记表'!AH16/'18年合同登记表'!$M16</f>
        <v>0</v>
      </c>
      <c r="AK15" s="122">
        <f>客服部最终提成计算表!$X16*0.15*0.8*0.02*'18年合同登记表'!AH16/'18年合同登记表'!$M16</f>
        <v>0</v>
      </c>
      <c r="AL15" s="122">
        <f>客服部最终提成计算表!$X16*0.15*0.8*0.85*'18年合同登记表'!AJ16/'18年合同登记表'!$M16</f>
        <v>0</v>
      </c>
      <c r="AM15" s="122">
        <f>客服部最终提成计算表!$X16*0.15*0.8*0.08*'18年合同登记表'!AJ16/'18年合同登记表'!$M16</f>
        <v>0</v>
      </c>
      <c r="AN15" s="122">
        <f>客服部最终提成计算表!$X16*0.15*0.8*0.05*'18年合同登记表'!AJ16/'18年合同登记表'!$M16</f>
        <v>0</v>
      </c>
      <c r="AO15" s="122">
        <f>客服部最终提成计算表!$X16*0.15*0.8*0.02*'18年合同登记表'!AJ16/'18年合同登记表'!$M16</f>
        <v>0</v>
      </c>
      <c r="AP15" s="122">
        <f>客服部最终提成计算表!$X16*0.15*0.8*0.85*'18年合同登记表'!AL16/'18年合同登记表'!$M16</f>
        <v>0</v>
      </c>
      <c r="AQ15" s="122">
        <f>客服部最终提成计算表!$X16*0.15*0.8*0.08*'18年合同登记表'!AL16/'18年合同登记表'!$M16</f>
        <v>0</v>
      </c>
      <c r="AR15" s="122">
        <f>客服部最终提成计算表!$X16*0.15*0.8*0.05*'18年合同登记表'!AL16/'18年合同登记表'!$M16</f>
        <v>0</v>
      </c>
      <c r="AS15" s="122">
        <f>客服部最终提成计算表!$X16*0.15*0.8*0.02*'18年合同登记表'!AL16/'18年合同登记表'!$M16</f>
        <v>0</v>
      </c>
      <c r="AT15" s="122">
        <f>客服部最终提成计算表!$X16*0.15*0.8*0.85*'18年合同登记表'!AN16/'18年合同登记表'!$M16</f>
        <v>4488</v>
      </c>
      <c r="AU15" s="122">
        <f>客服部最终提成计算表!$X16*0.15*0.8*0.08*'18年合同登记表'!AN16/'18年合同登记表'!$M16</f>
        <v>422.4</v>
      </c>
      <c r="AV15" s="122">
        <f>客服部最终提成计算表!$X16*0.15*0.8*0.05*'18年合同登记表'!AN16/'18年合同登记表'!$M16</f>
        <v>264</v>
      </c>
      <c r="AW15" s="122">
        <f>客服部最终提成计算表!$X16*0.15*0.8*0.02*'18年合同登记表'!AN16/'18年合同登记表'!$M16</f>
        <v>105.6</v>
      </c>
      <c r="AX15" s="122">
        <f>客服部最终提成计算表!$X16*0.15*0.8*0.85*'18年合同登记表'!AP16/'18年合同登记表'!$M16</f>
        <v>0</v>
      </c>
      <c r="AY15" s="122">
        <f>客服部最终提成计算表!$X16*0.15*0.8*0.08*'18年合同登记表'!AP16/'18年合同登记表'!$M16</f>
        <v>0</v>
      </c>
      <c r="AZ15" s="122">
        <f>客服部最终提成计算表!$X16*0.15*0.8*0.05*'18年合同登记表'!AP16/'18年合同登记表'!$M16</f>
        <v>0</v>
      </c>
      <c r="BA15" s="131">
        <f>客服部最终提成计算表!$X16*0.15*0.8*0.02*'18年合同登记表'!AP16/'18年合同登记表'!$M16</f>
        <v>0</v>
      </c>
    </row>
    <row r="16" s="104" customFormat="1" ht="14.25" spans="1:53">
      <c r="A16" s="117">
        <v>12</v>
      </c>
      <c r="B16" s="118" t="str">
        <f>'18年合同登记表'!F17</f>
        <v>玉泉营古文化广场</v>
      </c>
      <c r="C16" s="119" t="str">
        <f>'18年合同登记表'!H17</f>
        <v>NHS-2017114-Q-02-01-001</v>
      </c>
      <c r="D16" s="119" t="str">
        <f>'18年合同登记表'!I17</f>
        <v>直燃机年度维保、冷温水主管道清洗</v>
      </c>
      <c r="E16" s="120" t="str">
        <f>'18年合同登记表'!L17</f>
        <v>尹虎/陈勇</v>
      </c>
      <c r="F16" s="121">
        <f>客服部最终提成计算表!$X22*0.15*0.8*0.85*'18年合同登记表'!T17/'18年合同登记表'!$M17</f>
        <v>1385.6393442623</v>
      </c>
      <c r="G16" s="122">
        <f>客服部最终提成计算表!$X22*0.15*0.8*0.08*'18年合同登记表'!T17/'18年合同登记表'!$M17</f>
        <v>130.413114754098</v>
      </c>
      <c r="H16" s="122">
        <f>客服部最终提成计算表!$X22*0.15*0.8*0.05*'18年合同登记表'!T17/'18年合同登记表'!$M17</f>
        <v>81.5081967213115</v>
      </c>
      <c r="I16" s="122">
        <f>客服部最终提成计算表!$X22*0.15*0.8*0.02*'18年合同登记表'!T17/'18年合同登记表'!$M17</f>
        <v>32.6032786885246</v>
      </c>
      <c r="J16" s="122">
        <f>客服部最终提成计算表!$X22*0.15*0.8*0.85*'18年合同登记表'!V17/'18年合同登记表'!$M17</f>
        <v>0</v>
      </c>
      <c r="K16" s="122">
        <f>客服部最终提成计算表!$X22*0.15*0.8*0.08*'18年合同登记表'!V17/'18年合同登记表'!$M17</f>
        <v>0</v>
      </c>
      <c r="L16" s="122">
        <f>客服部最终提成计算表!$X22*0.15*0.8*0.05*'18年合同登记表'!V17/'18年合同登记表'!$M17</f>
        <v>0</v>
      </c>
      <c r="M16" s="122">
        <f>客服部最终提成计算表!$X22*0.15*0.8*0.02*'18年合同登记表'!V17/'18年合同登记表'!$M17</f>
        <v>0</v>
      </c>
      <c r="N16" s="122">
        <f>客服部最终提成计算表!$X22*0.15*0.8*0.85*'18年合同登记表'!X17/'18年合同登记表'!$M17</f>
        <v>0</v>
      </c>
      <c r="O16" s="122">
        <f>客服部最终提成计算表!$X22*0.15*0.8*0.08*'18年合同登记表'!X17/'18年合同登记表'!$M17</f>
        <v>0</v>
      </c>
      <c r="P16" s="122">
        <f>客服部最终提成计算表!$X22*0.15*0.8*0.05*'18年合同登记表'!X17/'18年合同登记表'!$M17</f>
        <v>0</v>
      </c>
      <c r="Q16" s="122">
        <f>客服部最终提成计算表!$X22*0.15*0.8*0.02*'18年合同登记表'!X17/'18年合同登记表'!$M17</f>
        <v>0</v>
      </c>
      <c r="R16" s="122">
        <f>客服部最终提成计算表!$X22*0.15*0.8*0.85*'18年合同登记表'!Z17/'18年合同登记表'!$M17</f>
        <v>0</v>
      </c>
      <c r="S16" s="122">
        <f>客服部最终提成计算表!$X22*0.15*0.8*0.08*'18年合同登记表'!Z17/'18年合同登记表'!$M17</f>
        <v>0</v>
      </c>
      <c r="T16" s="122">
        <f>客服部最终提成计算表!$X22*0.15*0.8*0.05*'18年合同登记表'!Z17/'18年合同登记表'!$M17</f>
        <v>0</v>
      </c>
      <c r="U16" s="122">
        <f>客服部最终提成计算表!$X22*0.15*0.8*0.02*'18年合同登记表'!Z17/'18年合同登记表'!$M17</f>
        <v>0</v>
      </c>
      <c r="V16" s="122">
        <f>客服部最终提成计算表!$X22*0.15*0.8*0.85*'18年合同登记表'!AB17/'18年合同登记表'!$M17</f>
        <v>0</v>
      </c>
      <c r="W16" s="122">
        <f>客服部最终提成计算表!$X22*0.15*0.8*0.08*'18年合同登记表'!AB17/'18年合同登记表'!$M17</f>
        <v>0</v>
      </c>
      <c r="X16" s="122">
        <f>客服部最终提成计算表!$X22*0.15*0.8*0.05*'18年合同登记表'!AB17/'18年合同登记表'!$M17</f>
        <v>0</v>
      </c>
      <c r="Y16" s="122">
        <f>客服部最终提成计算表!$X22*0.15*0.8*0.02*'18年合同登记表'!AB17/'18年合同登记表'!$M17</f>
        <v>0</v>
      </c>
      <c r="Z16" s="122">
        <f>客服部最终提成计算表!$X22*0.15*0.8*0.85*'18年合同登记表'!AD17/'18年合同登记表'!$M17</f>
        <v>0</v>
      </c>
      <c r="AA16" s="122">
        <f>客服部最终提成计算表!$X22*0.15*0.8*0.08*'18年合同登记表'!AD17/'18年合同登记表'!$M17</f>
        <v>0</v>
      </c>
      <c r="AB16" s="122">
        <f>客服部最终提成计算表!$X22*0.15*0.8*0.05*'18年合同登记表'!AD17/'18年合同登记表'!$M17</f>
        <v>0</v>
      </c>
      <c r="AC16" s="122">
        <f>客服部最终提成计算表!$X22*0.15*0.8*0.02*'18年合同登记表'!AD17/'18年合同登记表'!$M17</f>
        <v>0</v>
      </c>
      <c r="AD16" s="122">
        <f>客服部最终提成计算表!$X22*0.15*0.8*0.85*'18年合同登记表'!AF17/'18年合同登记表'!$M17</f>
        <v>0</v>
      </c>
      <c r="AE16" s="122">
        <f>客服部最终提成计算表!$X22*0.15*0.8*0.08*'18年合同登记表'!AF17/'18年合同登记表'!$M17</f>
        <v>0</v>
      </c>
      <c r="AF16" s="122">
        <f>客服部最终提成计算表!$X22*0.15*0.8*0.05*'18年合同登记表'!AF17/'18年合同登记表'!$M17</f>
        <v>0</v>
      </c>
      <c r="AG16" s="122">
        <f>客服部最终提成计算表!$X22*0.15*0.8*0.02*'18年合同登记表'!AF17/'18年合同登记表'!$M17</f>
        <v>0</v>
      </c>
      <c r="AH16" s="122">
        <f>客服部最终提成计算表!$X22*0.15*0.8*0.85*'18年合同登记表'!AH17/'18年合同登记表'!$M17</f>
        <v>0</v>
      </c>
      <c r="AI16" s="122">
        <f>客服部最终提成计算表!$X22*0.15*0.8*0.08*'18年合同登记表'!AH17/'18年合同登记表'!$M17</f>
        <v>0</v>
      </c>
      <c r="AJ16" s="122">
        <f>客服部最终提成计算表!$X22*0.15*0.8*0.05*'18年合同登记表'!AH17/'18年合同登记表'!$M17</f>
        <v>0</v>
      </c>
      <c r="AK16" s="122">
        <f>客服部最终提成计算表!$X22*0.15*0.8*0.02*'18年合同登记表'!AH17/'18年合同登记表'!$M17</f>
        <v>0</v>
      </c>
      <c r="AL16" s="122">
        <f>客服部最终提成计算表!$X22*0.15*0.8*0.85*'18年合同登记表'!AJ17/'18年合同登记表'!$M17</f>
        <v>0</v>
      </c>
      <c r="AM16" s="122">
        <f>客服部最终提成计算表!$X22*0.15*0.8*0.08*'18年合同登记表'!AJ17/'18年合同登记表'!$M17</f>
        <v>0</v>
      </c>
      <c r="AN16" s="122">
        <f>客服部最终提成计算表!$X22*0.15*0.8*0.05*'18年合同登记表'!AJ17/'18年合同登记表'!$M17</f>
        <v>0</v>
      </c>
      <c r="AO16" s="122">
        <f>客服部最终提成计算表!$X22*0.15*0.8*0.02*'18年合同登记表'!AJ17/'18年合同登记表'!$M17</f>
        <v>0</v>
      </c>
      <c r="AP16" s="122">
        <f>客服部最终提成计算表!$X22*0.15*0.8*0.85*'18年合同登记表'!AL17/'18年合同登记表'!$M17</f>
        <v>0</v>
      </c>
      <c r="AQ16" s="122">
        <f>客服部最终提成计算表!$X22*0.15*0.8*0.08*'18年合同登记表'!AL17/'18年合同登记表'!$M17</f>
        <v>0</v>
      </c>
      <c r="AR16" s="122">
        <f>客服部最终提成计算表!$X22*0.15*0.8*0.05*'18年合同登记表'!AL17/'18年合同登记表'!$M17</f>
        <v>0</v>
      </c>
      <c r="AS16" s="122">
        <f>客服部最终提成计算表!$X22*0.15*0.8*0.02*'18年合同登记表'!AL17/'18年合同登记表'!$M17</f>
        <v>0</v>
      </c>
      <c r="AT16" s="122">
        <f>客服部最终提成计算表!$X22*0.15*0.8*0.85*'18年合同登记表'!AN17/'18年合同登记表'!$M17</f>
        <v>0</v>
      </c>
      <c r="AU16" s="122">
        <f>客服部最终提成计算表!$X22*0.15*0.8*0.08*'18年合同登记表'!AN17/'18年合同登记表'!$M17</f>
        <v>0</v>
      </c>
      <c r="AV16" s="122">
        <f>客服部最终提成计算表!$X22*0.15*0.8*0.05*'18年合同登记表'!AN17/'18年合同登记表'!$M17</f>
        <v>0</v>
      </c>
      <c r="AW16" s="122">
        <f>客服部最终提成计算表!$X22*0.15*0.8*0.02*'18年合同登记表'!AN17/'18年合同登记表'!$M17</f>
        <v>0</v>
      </c>
      <c r="AX16" s="122">
        <f>客服部最终提成计算表!$X22*0.15*0.8*0.85*'18年合同登记表'!AP17/'18年合同登记表'!$M17</f>
        <v>0</v>
      </c>
      <c r="AY16" s="122">
        <f>客服部最终提成计算表!$X22*0.15*0.8*0.08*'18年合同登记表'!AP17/'18年合同登记表'!$M17</f>
        <v>0</v>
      </c>
      <c r="AZ16" s="122">
        <f>客服部最终提成计算表!$X22*0.15*0.8*0.05*'18年合同登记表'!AP17/'18年合同登记表'!$M17</f>
        <v>0</v>
      </c>
      <c r="BA16" s="131">
        <f>客服部最终提成计算表!$X22*0.15*0.8*0.02*'18年合同登记表'!AP17/'18年合同登记表'!$M17</f>
        <v>0</v>
      </c>
    </row>
    <row r="17" s="104" customFormat="1" ht="14.25" spans="1:53">
      <c r="A17" s="117">
        <v>13</v>
      </c>
      <c r="B17" s="118" t="str">
        <f>'18年合同登记表'!F18</f>
        <v>深圳南山热电</v>
      </c>
      <c r="C17" s="119" t="str">
        <f>'18年合同登记表'!H18</f>
        <v>没有编号</v>
      </c>
      <c r="D17" s="119" t="str">
        <f>'18年合同登记表'!I18</f>
        <v>年度检修</v>
      </c>
      <c r="E17" s="120" t="str">
        <f>'18年合同登记表'!L18</f>
        <v>陈勇/</v>
      </c>
      <c r="F17" s="121">
        <f>客服部最终提成计算表!$X23*0.15*0.8*0.85*'18年合同登记表'!T18/'18年合同登记表'!$M18</f>
        <v>0</v>
      </c>
      <c r="G17" s="122">
        <f>客服部最终提成计算表!$X23*0.15*0.8*0.08*'18年合同登记表'!T18/'18年合同登记表'!$M18</f>
        <v>0</v>
      </c>
      <c r="H17" s="122">
        <f>客服部最终提成计算表!$X23*0.15*0.8*0.05*'18年合同登记表'!T18/'18年合同登记表'!$M18</f>
        <v>0</v>
      </c>
      <c r="I17" s="122">
        <f>客服部最终提成计算表!$X23*0.15*0.8*0.02*'18年合同登记表'!T18/'18年合同登记表'!$M18</f>
        <v>0</v>
      </c>
      <c r="J17" s="122">
        <f>客服部最终提成计算表!$X23*0.15*0.8*0.85*'18年合同登记表'!V18/'18年合同登记表'!$M18</f>
        <v>0</v>
      </c>
      <c r="K17" s="122">
        <f>客服部最终提成计算表!$X23*0.15*0.8*0.08*'18年合同登记表'!V18/'18年合同登记表'!$M18</f>
        <v>0</v>
      </c>
      <c r="L17" s="122">
        <f>客服部最终提成计算表!$X23*0.15*0.8*0.05*'18年合同登记表'!V18/'18年合同登记表'!$M18</f>
        <v>0</v>
      </c>
      <c r="M17" s="122">
        <f>客服部最终提成计算表!$X23*0.15*0.8*0.02*'18年合同登记表'!V18/'18年合同登记表'!$M18</f>
        <v>0</v>
      </c>
      <c r="N17" s="122">
        <f>客服部最终提成计算表!$X23*0.15*0.8*0.85*'18年合同登记表'!X18/'18年合同登记表'!$M18</f>
        <v>0</v>
      </c>
      <c r="O17" s="122">
        <f>客服部最终提成计算表!$X23*0.15*0.8*0.08*'18年合同登记表'!X18/'18年合同登记表'!$M18</f>
        <v>0</v>
      </c>
      <c r="P17" s="122">
        <f>客服部最终提成计算表!$X23*0.15*0.8*0.05*'18年合同登记表'!X18/'18年合同登记表'!$M18</f>
        <v>0</v>
      </c>
      <c r="Q17" s="122">
        <f>客服部最终提成计算表!$X23*0.15*0.8*0.02*'18年合同登记表'!X18/'18年合同登记表'!$M18</f>
        <v>0</v>
      </c>
      <c r="R17" s="122">
        <f>客服部最终提成计算表!$X23*0.15*0.8*0.85*'18年合同登记表'!Z18/'18年合同登记表'!$M18</f>
        <v>2790.72</v>
      </c>
      <c r="S17" s="122">
        <f>客服部最终提成计算表!$X23*0.15*0.8*0.08*'18年合同登记表'!Z18/'18年合同登记表'!$M18</f>
        <v>262.656</v>
      </c>
      <c r="T17" s="122">
        <f>客服部最终提成计算表!$X23*0.15*0.8*0.05*'18年合同登记表'!Z18/'18年合同登记表'!$M18</f>
        <v>164.16</v>
      </c>
      <c r="U17" s="122">
        <f>客服部最终提成计算表!$X23*0.15*0.8*0.02*'18年合同登记表'!Z18/'18年合同登记表'!$M18</f>
        <v>65.664</v>
      </c>
      <c r="V17" s="122">
        <f>客服部最终提成计算表!$X23*0.15*0.8*0.85*'18年合同登记表'!AB18/'18年合同登记表'!$M18</f>
        <v>0</v>
      </c>
      <c r="W17" s="122">
        <f>客服部最终提成计算表!$X23*0.15*0.8*0.08*'18年合同登记表'!AB18/'18年合同登记表'!$M18</f>
        <v>0</v>
      </c>
      <c r="X17" s="122">
        <f>客服部最终提成计算表!$X23*0.15*0.8*0.05*'18年合同登记表'!AB18/'18年合同登记表'!$M18</f>
        <v>0</v>
      </c>
      <c r="Y17" s="122">
        <f>客服部最终提成计算表!$X23*0.15*0.8*0.02*'18年合同登记表'!AB18/'18年合同登记表'!$M18</f>
        <v>0</v>
      </c>
      <c r="Z17" s="122">
        <f>客服部最终提成计算表!$X23*0.15*0.8*0.85*'18年合同登记表'!AD18/'18年合同登记表'!$M18</f>
        <v>0</v>
      </c>
      <c r="AA17" s="122">
        <f>客服部最终提成计算表!$X23*0.15*0.8*0.08*'18年合同登记表'!AD18/'18年合同登记表'!$M18</f>
        <v>0</v>
      </c>
      <c r="AB17" s="122">
        <f>客服部最终提成计算表!$X23*0.15*0.8*0.05*'18年合同登记表'!AD18/'18年合同登记表'!$M18</f>
        <v>0</v>
      </c>
      <c r="AC17" s="122">
        <f>客服部最终提成计算表!$X23*0.15*0.8*0.02*'18年合同登记表'!AD18/'18年合同登记表'!$M18</f>
        <v>0</v>
      </c>
      <c r="AD17" s="122">
        <f>客服部最终提成计算表!$X23*0.15*0.8*0.85*'18年合同登记表'!AF18/'18年合同登记表'!$M18</f>
        <v>0</v>
      </c>
      <c r="AE17" s="122">
        <f>客服部最终提成计算表!$X23*0.15*0.8*0.08*'18年合同登记表'!AF18/'18年合同登记表'!$M18</f>
        <v>0</v>
      </c>
      <c r="AF17" s="122">
        <f>客服部最终提成计算表!$X23*0.15*0.8*0.05*'18年合同登记表'!AF18/'18年合同登记表'!$M18</f>
        <v>0</v>
      </c>
      <c r="AG17" s="122">
        <f>客服部最终提成计算表!$X23*0.15*0.8*0.02*'18年合同登记表'!AF18/'18年合同登记表'!$M18</f>
        <v>0</v>
      </c>
      <c r="AH17" s="122">
        <f>客服部最终提成计算表!$X23*0.15*0.8*0.85*'18年合同登记表'!AH18/'18年合同登记表'!$M18</f>
        <v>0</v>
      </c>
      <c r="AI17" s="122">
        <f>客服部最终提成计算表!$X23*0.15*0.8*0.08*'18年合同登记表'!AH18/'18年合同登记表'!$M18</f>
        <v>0</v>
      </c>
      <c r="AJ17" s="122">
        <f>客服部最终提成计算表!$X23*0.15*0.8*0.05*'18年合同登记表'!AH18/'18年合同登记表'!$M18</f>
        <v>0</v>
      </c>
      <c r="AK17" s="122">
        <f>客服部最终提成计算表!$X23*0.15*0.8*0.02*'18年合同登记表'!AH18/'18年合同登记表'!$M18</f>
        <v>0</v>
      </c>
      <c r="AL17" s="122">
        <f>客服部最终提成计算表!$X23*0.15*0.8*0.85*'18年合同登记表'!AJ18/'18年合同登记表'!$M18</f>
        <v>0</v>
      </c>
      <c r="AM17" s="122">
        <f>客服部最终提成计算表!$X23*0.15*0.8*0.08*'18年合同登记表'!AJ18/'18年合同登记表'!$M18</f>
        <v>0</v>
      </c>
      <c r="AN17" s="122">
        <f>客服部最终提成计算表!$X23*0.15*0.8*0.05*'18年合同登记表'!AJ18/'18年合同登记表'!$M18</f>
        <v>0</v>
      </c>
      <c r="AO17" s="122">
        <f>客服部最终提成计算表!$X23*0.15*0.8*0.02*'18年合同登记表'!AJ18/'18年合同登记表'!$M18</f>
        <v>0</v>
      </c>
      <c r="AP17" s="122">
        <f>客服部最终提成计算表!$X23*0.15*0.8*0.85*'18年合同登记表'!AL18/'18年合同登记表'!$M18</f>
        <v>0</v>
      </c>
      <c r="AQ17" s="122">
        <f>客服部最终提成计算表!$X23*0.15*0.8*0.08*'18年合同登记表'!AL18/'18年合同登记表'!$M18</f>
        <v>0</v>
      </c>
      <c r="AR17" s="122">
        <f>客服部最终提成计算表!$X23*0.15*0.8*0.05*'18年合同登记表'!AL18/'18年合同登记表'!$M18</f>
        <v>0</v>
      </c>
      <c r="AS17" s="122">
        <f>客服部最终提成计算表!$X23*0.15*0.8*0.02*'18年合同登记表'!AL18/'18年合同登记表'!$M18</f>
        <v>0</v>
      </c>
      <c r="AT17" s="122">
        <f>客服部最终提成计算表!$X23*0.15*0.8*0.85*'18年合同登记表'!AN18/'18年合同登记表'!$M18</f>
        <v>0</v>
      </c>
      <c r="AU17" s="122">
        <f>客服部最终提成计算表!$X23*0.15*0.8*0.08*'18年合同登记表'!AN18/'18年合同登记表'!$M18</f>
        <v>0</v>
      </c>
      <c r="AV17" s="122">
        <f>客服部最终提成计算表!$X23*0.15*0.8*0.05*'18年合同登记表'!AN18/'18年合同登记表'!$M18</f>
        <v>0</v>
      </c>
      <c r="AW17" s="122">
        <f>客服部最终提成计算表!$X23*0.15*0.8*0.02*'18年合同登记表'!AN18/'18年合同登记表'!$M18</f>
        <v>0</v>
      </c>
      <c r="AX17" s="122">
        <f>客服部最终提成计算表!$X23*0.15*0.8*0.85*'18年合同登记表'!AP18/'18年合同登记表'!$M18</f>
        <v>0</v>
      </c>
      <c r="AY17" s="122">
        <f>客服部最终提成计算表!$X23*0.15*0.8*0.08*'18年合同登记表'!AP18/'18年合同登记表'!$M18</f>
        <v>0</v>
      </c>
      <c r="AZ17" s="122">
        <f>客服部最终提成计算表!$X23*0.15*0.8*0.05*'18年合同登记表'!AP18/'18年合同登记表'!$M18</f>
        <v>0</v>
      </c>
      <c r="BA17" s="131">
        <f>客服部最终提成计算表!$X23*0.15*0.8*0.02*'18年合同登记表'!AP18/'18年合同登记表'!$M18</f>
        <v>0</v>
      </c>
    </row>
    <row r="18" s="104" customFormat="1" ht="14.25" spans="1:53">
      <c r="A18" s="117">
        <v>14</v>
      </c>
      <c r="B18" s="118" t="str">
        <f>'18年合同登记表'!F19</f>
        <v>天津劝宝</v>
      </c>
      <c r="C18" s="119" t="str">
        <f>'18年合同登记表'!H19</f>
        <v>NHS-20180109-KF-01-01-011</v>
      </c>
      <c r="D18" s="119" t="str">
        <f>'18年合同登记表'!I19</f>
        <v>维修变频器</v>
      </c>
      <c r="E18" s="120" t="str">
        <f>'18年合同登记表'!L19</f>
        <v>兰健/</v>
      </c>
      <c r="F18" s="121">
        <f>客服部最终提成计算表!$X24*0.15*0.8*0.85*'18年合同登记表'!T19/'18年合同登记表'!$M19</f>
        <v>0</v>
      </c>
      <c r="G18" s="122">
        <f>客服部最终提成计算表!$X24*0.15*0.8*0.08*'18年合同登记表'!T19/'18年合同登记表'!$M19</f>
        <v>0</v>
      </c>
      <c r="H18" s="122">
        <f>客服部最终提成计算表!$X24*0.15*0.8*0.05*'18年合同登记表'!T19/'18年合同登记表'!$M19</f>
        <v>0</v>
      </c>
      <c r="I18" s="122">
        <f>客服部最终提成计算表!$X24*0.15*0.8*0.02*'18年合同登记表'!T19/'18年合同登记表'!$M19</f>
        <v>0</v>
      </c>
      <c r="J18" s="122">
        <f>客服部最终提成计算表!$X24*0.15*0.8*0.85*'18年合同登记表'!V19/'18年合同登记表'!$M19</f>
        <v>0</v>
      </c>
      <c r="K18" s="122">
        <f>客服部最终提成计算表!$X24*0.15*0.8*0.08*'18年合同登记表'!V19/'18年合同登记表'!$M19</f>
        <v>0</v>
      </c>
      <c r="L18" s="122">
        <f>客服部最终提成计算表!$X24*0.15*0.8*0.05*'18年合同登记表'!V19/'18年合同登记表'!$M19</f>
        <v>0</v>
      </c>
      <c r="M18" s="122">
        <f>客服部最终提成计算表!$X24*0.15*0.8*0.02*'18年合同登记表'!V19/'18年合同登记表'!$M19</f>
        <v>0</v>
      </c>
      <c r="N18" s="122">
        <f>客服部最终提成计算表!$X24*0.15*0.8*0.85*'18年合同登记表'!X19/'18年合同登记表'!$M19</f>
        <v>0</v>
      </c>
      <c r="O18" s="122">
        <f>客服部最终提成计算表!$X24*0.15*0.8*0.08*'18年合同登记表'!X19/'18年合同登记表'!$M19</f>
        <v>0</v>
      </c>
      <c r="P18" s="122">
        <f>客服部最终提成计算表!$X24*0.15*0.8*0.05*'18年合同登记表'!X19/'18年合同登记表'!$M19</f>
        <v>0</v>
      </c>
      <c r="Q18" s="122">
        <f>客服部最终提成计算表!$X24*0.15*0.8*0.02*'18年合同登记表'!X19/'18年合同登记表'!$M19</f>
        <v>0</v>
      </c>
      <c r="R18" s="122">
        <f>客服部最终提成计算表!$X24*0.15*0.8*0.85*'18年合同登记表'!Z19/'18年合同登记表'!$M19</f>
        <v>1224</v>
      </c>
      <c r="S18" s="122">
        <f>客服部最终提成计算表!$X24*0.15*0.8*0.08*'18年合同登记表'!Z19/'18年合同登记表'!$M19</f>
        <v>115.2</v>
      </c>
      <c r="T18" s="122">
        <f>客服部最终提成计算表!$X24*0.15*0.8*0.05*'18年合同登记表'!Z19/'18年合同登记表'!$M19</f>
        <v>72</v>
      </c>
      <c r="U18" s="122">
        <f>客服部最终提成计算表!$X24*0.15*0.8*0.02*'18年合同登记表'!Z19/'18年合同登记表'!$M19</f>
        <v>28.8</v>
      </c>
      <c r="V18" s="122">
        <f>客服部最终提成计算表!$X24*0.15*0.8*0.85*'18年合同登记表'!AB19/'18年合同登记表'!$M19</f>
        <v>0</v>
      </c>
      <c r="W18" s="122">
        <f>客服部最终提成计算表!$X24*0.15*0.8*0.08*'18年合同登记表'!AB19/'18年合同登记表'!$M19</f>
        <v>0</v>
      </c>
      <c r="X18" s="122">
        <f>客服部最终提成计算表!$X24*0.15*0.8*0.05*'18年合同登记表'!AB19/'18年合同登记表'!$M19</f>
        <v>0</v>
      </c>
      <c r="Y18" s="122">
        <f>客服部最终提成计算表!$X24*0.15*0.8*0.02*'18年合同登记表'!AB19/'18年合同登记表'!$M19</f>
        <v>0</v>
      </c>
      <c r="Z18" s="122">
        <f>客服部最终提成计算表!$X24*0.15*0.8*0.85*'18年合同登记表'!AD19/'18年合同登记表'!$M19</f>
        <v>0</v>
      </c>
      <c r="AA18" s="122">
        <f>客服部最终提成计算表!$X24*0.15*0.8*0.08*'18年合同登记表'!AD19/'18年合同登记表'!$M19</f>
        <v>0</v>
      </c>
      <c r="AB18" s="122">
        <f>客服部最终提成计算表!$X24*0.15*0.8*0.05*'18年合同登记表'!AD19/'18年合同登记表'!$M19</f>
        <v>0</v>
      </c>
      <c r="AC18" s="122">
        <f>客服部最终提成计算表!$X24*0.15*0.8*0.02*'18年合同登记表'!AD19/'18年合同登记表'!$M19</f>
        <v>0</v>
      </c>
      <c r="AD18" s="122">
        <f>客服部最终提成计算表!$X24*0.15*0.8*0.85*'18年合同登记表'!AF19/'18年合同登记表'!$M19</f>
        <v>0</v>
      </c>
      <c r="AE18" s="122">
        <f>客服部最终提成计算表!$X24*0.15*0.8*0.08*'18年合同登记表'!AF19/'18年合同登记表'!$M19</f>
        <v>0</v>
      </c>
      <c r="AF18" s="122">
        <f>客服部最终提成计算表!$X24*0.15*0.8*0.05*'18年合同登记表'!AF19/'18年合同登记表'!$M19</f>
        <v>0</v>
      </c>
      <c r="AG18" s="122">
        <f>客服部最终提成计算表!$X24*0.15*0.8*0.02*'18年合同登记表'!AF19/'18年合同登记表'!$M19</f>
        <v>0</v>
      </c>
      <c r="AH18" s="122">
        <f>客服部最终提成计算表!$X24*0.15*0.8*0.85*'18年合同登记表'!AH19/'18年合同登记表'!$M19</f>
        <v>0</v>
      </c>
      <c r="AI18" s="122">
        <f>客服部最终提成计算表!$X24*0.15*0.8*0.08*'18年合同登记表'!AH19/'18年合同登记表'!$M19</f>
        <v>0</v>
      </c>
      <c r="AJ18" s="122">
        <f>客服部最终提成计算表!$X24*0.15*0.8*0.05*'18年合同登记表'!AH19/'18年合同登记表'!$M19</f>
        <v>0</v>
      </c>
      <c r="AK18" s="122">
        <f>客服部最终提成计算表!$X24*0.15*0.8*0.02*'18年合同登记表'!AH19/'18年合同登记表'!$M19</f>
        <v>0</v>
      </c>
      <c r="AL18" s="122">
        <f>客服部最终提成计算表!$X24*0.15*0.8*0.85*'18年合同登记表'!AJ19/'18年合同登记表'!$M19</f>
        <v>0</v>
      </c>
      <c r="AM18" s="122">
        <f>客服部最终提成计算表!$X24*0.15*0.8*0.08*'18年合同登记表'!AJ19/'18年合同登记表'!$M19</f>
        <v>0</v>
      </c>
      <c r="AN18" s="122">
        <f>客服部最终提成计算表!$X24*0.15*0.8*0.05*'18年合同登记表'!AJ19/'18年合同登记表'!$M19</f>
        <v>0</v>
      </c>
      <c r="AO18" s="122">
        <f>客服部最终提成计算表!$X24*0.15*0.8*0.02*'18年合同登记表'!AJ19/'18年合同登记表'!$M19</f>
        <v>0</v>
      </c>
      <c r="AP18" s="122">
        <f>客服部最终提成计算表!$X24*0.15*0.8*0.85*'18年合同登记表'!AL19/'18年合同登记表'!$M19</f>
        <v>0</v>
      </c>
      <c r="AQ18" s="122">
        <f>客服部最终提成计算表!$X24*0.15*0.8*0.08*'18年合同登记表'!AL19/'18年合同登记表'!$M19</f>
        <v>0</v>
      </c>
      <c r="AR18" s="122">
        <f>客服部最终提成计算表!$X24*0.15*0.8*0.05*'18年合同登记表'!AL19/'18年合同登记表'!$M19</f>
        <v>0</v>
      </c>
      <c r="AS18" s="122">
        <f>客服部最终提成计算表!$X24*0.15*0.8*0.02*'18年合同登记表'!AL19/'18年合同登记表'!$M19</f>
        <v>0</v>
      </c>
      <c r="AT18" s="122">
        <f>客服部最终提成计算表!$X24*0.15*0.8*0.85*'18年合同登记表'!AN19/'18年合同登记表'!$M19</f>
        <v>0</v>
      </c>
      <c r="AU18" s="122">
        <f>客服部最终提成计算表!$X24*0.15*0.8*0.08*'18年合同登记表'!AN19/'18年合同登记表'!$M19</f>
        <v>0</v>
      </c>
      <c r="AV18" s="122">
        <f>客服部最终提成计算表!$X24*0.15*0.8*0.05*'18年合同登记表'!AN19/'18年合同登记表'!$M19</f>
        <v>0</v>
      </c>
      <c r="AW18" s="122">
        <f>客服部最终提成计算表!$X24*0.15*0.8*0.02*'18年合同登记表'!AN19/'18年合同登记表'!$M19</f>
        <v>0</v>
      </c>
      <c r="AX18" s="122">
        <f>客服部最终提成计算表!$X24*0.15*0.8*0.85*'18年合同登记表'!AP19/'18年合同登记表'!$M19</f>
        <v>0</v>
      </c>
      <c r="AY18" s="122">
        <f>客服部最终提成计算表!$X24*0.15*0.8*0.08*'18年合同登记表'!AP19/'18年合同登记表'!$M19</f>
        <v>0</v>
      </c>
      <c r="AZ18" s="122">
        <f>客服部最终提成计算表!$X24*0.15*0.8*0.05*'18年合同登记表'!AP19/'18年合同登记表'!$M19</f>
        <v>0</v>
      </c>
      <c r="BA18" s="131">
        <f>客服部最终提成计算表!$X24*0.15*0.8*0.02*'18年合同登记表'!AP19/'18年合同登记表'!$M19</f>
        <v>0</v>
      </c>
    </row>
    <row r="19" s="104" customFormat="1" ht="14.25" spans="1:53">
      <c r="A19" s="117">
        <v>15</v>
      </c>
      <c r="B19" s="118" t="str">
        <f>'18年合同登记表'!F20</f>
        <v>济南武洲</v>
      </c>
      <c r="C19" s="119" t="str">
        <f>'18年合同登记表'!H20</f>
        <v>NHY-20180127-L-01-01-030</v>
      </c>
      <c r="D19" s="119" t="str">
        <f>'18年合同登记表'!I20</f>
        <v>空调维修</v>
      </c>
      <c r="E19" s="120" t="str">
        <f>'18年合同登记表'!L20</f>
        <v>陈勇/</v>
      </c>
      <c r="F19" s="121">
        <f>客服部最终提成计算表!$X25*0.15*0.8*0.85*'18年合同登记表'!T20/'18年合同登记表'!$M20</f>
        <v>1264.8</v>
      </c>
      <c r="G19" s="122">
        <f>客服部最终提成计算表!$X25*0.15*0.8*0.08*'18年合同登记表'!T20/'18年合同登记表'!$M20</f>
        <v>119.04</v>
      </c>
      <c r="H19" s="122">
        <f>客服部最终提成计算表!$X25*0.15*0.8*0.05*'18年合同登记表'!T20/'18年合同登记表'!$M20</f>
        <v>74.4</v>
      </c>
      <c r="I19" s="122">
        <f>客服部最终提成计算表!$X25*0.15*0.8*0.02*'18年合同登记表'!T20/'18年合同登记表'!$M20</f>
        <v>29.76</v>
      </c>
      <c r="J19" s="122">
        <f>客服部最终提成计算表!$X25*0.15*0.8*0.85*'18年合同登记表'!V20/'18年合同登记表'!$M20</f>
        <v>0</v>
      </c>
      <c r="K19" s="122">
        <f>客服部最终提成计算表!$X25*0.15*0.8*0.08*'18年合同登记表'!V20/'18年合同登记表'!$M20</f>
        <v>0</v>
      </c>
      <c r="L19" s="122">
        <f>客服部最终提成计算表!$X25*0.15*0.8*0.05*'18年合同登记表'!V20/'18年合同登记表'!$M20</f>
        <v>0</v>
      </c>
      <c r="M19" s="122">
        <f>客服部最终提成计算表!$X25*0.15*0.8*0.02*'18年合同登记表'!V20/'18年合同登记表'!$M20</f>
        <v>0</v>
      </c>
      <c r="N19" s="122">
        <f>客服部最终提成计算表!$X25*0.15*0.8*0.85*'18年合同登记表'!X20/'18年合同登记表'!$M20</f>
        <v>0</v>
      </c>
      <c r="O19" s="122">
        <f>客服部最终提成计算表!$X25*0.15*0.8*0.08*'18年合同登记表'!X20/'18年合同登记表'!$M20</f>
        <v>0</v>
      </c>
      <c r="P19" s="122">
        <f>客服部最终提成计算表!$X25*0.15*0.8*0.05*'18年合同登记表'!X20/'18年合同登记表'!$M20</f>
        <v>0</v>
      </c>
      <c r="Q19" s="122">
        <f>客服部最终提成计算表!$X25*0.15*0.8*0.02*'18年合同登记表'!X20/'18年合同登记表'!$M20</f>
        <v>0</v>
      </c>
      <c r="R19" s="122">
        <f>客服部最终提成计算表!$X25*0.15*0.8*0.85*'18年合同登记表'!Z20/'18年合同登记表'!$M20</f>
        <v>0</v>
      </c>
      <c r="S19" s="122">
        <f>客服部最终提成计算表!$X25*0.15*0.8*0.08*'18年合同登记表'!Z20/'18年合同登记表'!$M20</f>
        <v>0</v>
      </c>
      <c r="T19" s="122">
        <f>客服部最终提成计算表!$X25*0.15*0.8*0.05*'18年合同登记表'!Z20/'18年合同登记表'!$M20</f>
        <v>0</v>
      </c>
      <c r="U19" s="122">
        <f>客服部最终提成计算表!$X25*0.15*0.8*0.02*'18年合同登记表'!Z20/'18年合同登记表'!$M20</f>
        <v>0</v>
      </c>
      <c r="V19" s="122">
        <f>客服部最终提成计算表!$X25*0.15*0.8*0.85*'18年合同登记表'!AB20/'18年合同登记表'!$M20</f>
        <v>0</v>
      </c>
      <c r="W19" s="122">
        <f>客服部最终提成计算表!$X25*0.15*0.8*0.08*'18年合同登记表'!AB20/'18年合同登记表'!$M20</f>
        <v>0</v>
      </c>
      <c r="X19" s="122">
        <f>客服部最终提成计算表!$X25*0.15*0.8*0.05*'18年合同登记表'!AB20/'18年合同登记表'!$M20</f>
        <v>0</v>
      </c>
      <c r="Y19" s="122">
        <f>客服部最终提成计算表!$X25*0.15*0.8*0.02*'18年合同登记表'!AB20/'18年合同登记表'!$M20</f>
        <v>0</v>
      </c>
      <c r="Z19" s="122">
        <f>客服部最终提成计算表!$X25*0.15*0.8*0.85*'18年合同登记表'!AD20/'18年合同登记表'!$M20</f>
        <v>0</v>
      </c>
      <c r="AA19" s="122">
        <f>客服部最终提成计算表!$X25*0.15*0.8*0.08*'18年合同登记表'!AD20/'18年合同登记表'!$M20</f>
        <v>0</v>
      </c>
      <c r="AB19" s="122">
        <f>客服部最终提成计算表!$X25*0.15*0.8*0.05*'18年合同登记表'!AD20/'18年合同登记表'!$M20</f>
        <v>0</v>
      </c>
      <c r="AC19" s="122">
        <f>客服部最终提成计算表!$X25*0.15*0.8*0.02*'18年合同登记表'!AD20/'18年合同登记表'!$M20</f>
        <v>0</v>
      </c>
      <c r="AD19" s="122">
        <f>客服部最终提成计算表!$X25*0.15*0.8*0.85*'18年合同登记表'!AF20/'18年合同登记表'!$M20</f>
        <v>0</v>
      </c>
      <c r="AE19" s="122">
        <f>客服部最终提成计算表!$X25*0.15*0.8*0.08*'18年合同登记表'!AF20/'18年合同登记表'!$M20</f>
        <v>0</v>
      </c>
      <c r="AF19" s="122">
        <f>客服部最终提成计算表!$X25*0.15*0.8*0.05*'18年合同登记表'!AF20/'18年合同登记表'!$M20</f>
        <v>0</v>
      </c>
      <c r="AG19" s="122">
        <f>客服部最终提成计算表!$X25*0.15*0.8*0.02*'18年合同登记表'!AF20/'18年合同登记表'!$M20</f>
        <v>0</v>
      </c>
      <c r="AH19" s="122">
        <f>客服部最终提成计算表!$X25*0.15*0.8*0.85*'18年合同登记表'!AH20/'18年合同登记表'!$M20</f>
        <v>0</v>
      </c>
      <c r="AI19" s="122">
        <f>客服部最终提成计算表!$X25*0.15*0.8*0.08*'18年合同登记表'!AH20/'18年合同登记表'!$M20</f>
        <v>0</v>
      </c>
      <c r="AJ19" s="122">
        <f>客服部最终提成计算表!$X25*0.15*0.8*0.05*'18年合同登记表'!AH20/'18年合同登记表'!$M20</f>
        <v>0</v>
      </c>
      <c r="AK19" s="122">
        <f>客服部最终提成计算表!$X25*0.15*0.8*0.02*'18年合同登记表'!AH20/'18年合同登记表'!$M20</f>
        <v>0</v>
      </c>
      <c r="AL19" s="122">
        <f>客服部最终提成计算表!$X25*0.15*0.8*0.85*'18年合同登记表'!AJ20/'18年合同登记表'!$M20</f>
        <v>0</v>
      </c>
      <c r="AM19" s="122">
        <f>客服部最终提成计算表!$X25*0.15*0.8*0.08*'18年合同登记表'!AJ20/'18年合同登记表'!$M20</f>
        <v>0</v>
      </c>
      <c r="AN19" s="122">
        <f>客服部最终提成计算表!$X25*0.15*0.8*0.05*'18年合同登记表'!AJ20/'18年合同登记表'!$M20</f>
        <v>0</v>
      </c>
      <c r="AO19" s="122">
        <f>客服部最终提成计算表!$X25*0.15*0.8*0.02*'18年合同登记表'!AJ20/'18年合同登记表'!$M20</f>
        <v>0</v>
      </c>
      <c r="AP19" s="122">
        <f>客服部最终提成计算表!$X25*0.15*0.8*0.85*'18年合同登记表'!AL20/'18年合同登记表'!$M20</f>
        <v>0</v>
      </c>
      <c r="AQ19" s="122">
        <f>客服部最终提成计算表!$X25*0.15*0.8*0.08*'18年合同登记表'!AL20/'18年合同登记表'!$M20</f>
        <v>0</v>
      </c>
      <c r="AR19" s="122">
        <f>客服部最终提成计算表!$X25*0.15*0.8*0.05*'18年合同登记表'!AL20/'18年合同登记表'!$M20</f>
        <v>0</v>
      </c>
      <c r="AS19" s="122">
        <f>客服部最终提成计算表!$X25*0.15*0.8*0.02*'18年合同登记表'!AL20/'18年合同登记表'!$M20</f>
        <v>0</v>
      </c>
      <c r="AT19" s="122">
        <f>客服部最终提成计算表!$X25*0.15*0.8*0.85*'18年合同登记表'!AN20/'18年合同登记表'!$M20</f>
        <v>0</v>
      </c>
      <c r="AU19" s="122">
        <f>客服部最终提成计算表!$X25*0.15*0.8*0.08*'18年合同登记表'!AN20/'18年合同登记表'!$M20</f>
        <v>0</v>
      </c>
      <c r="AV19" s="122">
        <f>客服部最终提成计算表!$X25*0.15*0.8*0.05*'18年合同登记表'!AN20/'18年合同登记表'!$M20</f>
        <v>0</v>
      </c>
      <c r="AW19" s="122">
        <f>客服部最终提成计算表!$X25*0.15*0.8*0.02*'18年合同登记表'!AN20/'18年合同登记表'!$M20</f>
        <v>0</v>
      </c>
      <c r="AX19" s="122">
        <f>客服部最终提成计算表!$X25*0.15*0.8*0.85*'18年合同登记表'!AP20/'18年合同登记表'!$M20</f>
        <v>0</v>
      </c>
      <c r="AY19" s="122">
        <f>客服部最终提成计算表!$X25*0.15*0.8*0.08*'18年合同登记表'!AP20/'18年合同登记表'!$M20</f>
        <v>0</v>
      </c>
      <c r="AZ19" s="122">
        <f>客服部最终提成计算表!$X25*0.15*0.8*0.05*'18年合同登记表'!AP20/'18年合同登记表'!$M20</f>
        <v>0</v>
      </c>
      <c r="BA19" s="131">
        <f>客服部最终提成计算表!$X25*0.15*0.8*0.02*'18年合同登记表'!AP20/'18年合同登记表'!$M20</f>
        <v>0</v>
      </c>
    </row>
    <row r="20" s="104" customFormat="1" ht="14.25" spans="1:53">
      <c r="A20" s="117">
        <v>16</v>
      </c>
      <c r="B20" s="118" t="str">
        <f>'18年合同登记表'!F21</f>
        <v>河北浩天</v>
      </c>
      <c r="C20" s="119" t="str">
        <f>'18年合同登记表'!H21</f>
        <v>NHY-20180125-W-01-01-04</v>
      </c>
      <c r="D20" s="119" t="str">
        <f>'18年合同登记表'!I21</f>
        <v>冷水机组维保</v>
      </c>
      <c r="E20" s="120" t="str">
        <f>'18年合同登记表'!L21</f>
        <v>尹虎/陈勇</v>
      </c>
      <c r="F20" s="121" t="e">
        <f>客服部最终提成计算表!$X31*0.15*0.8*0.85*'18年合同登记表'!T21/'18年合同登记表'!$M21</f>
        <v>#REF!</v>
      </c>
      <c r="G20" s="122" t="e">
        <f>客服部最终提成计算表!$X31*0.15*0.8*0.08*'18年合同登记表'!T21/'18年合同登记表'!$M21</f>
        <v>#REF!</v>
      </c>
      <c r="H20" s="122" t="e">
        <f>客服部最终提成计算表!$X31*0.15*0.8*0.05*'18年合同登记表'!T21/'18年合同登记表'!$M21</f>
        <v>#REF!</v>
      </c>
      <c r="I20" s="122" t="e">
        <f>客服部最终提成计算表!$X31*0.15*0.8*0.02*'18年合同登记表'!T21/'18年合同登记表'!$M21</f>
        <v>#REF!</v>
      </c>
      <c r="J20" s="122" t="e">
        <f>客服部最终提成计算表!$X31*0.15*0.8*0.85*'18年合同登记表'!V21/'18年合同登记表'!$M21</f>
        <v>#REF!</v>
      </c>
      <c r="K20" s="122" t="e">
        <f>客服部最终提成计算表!$X31*0.15*0.8*0.08*'18年合同登记表'!V21/'18年合同登记表'!$M21</f>
        <v>#REF!</v>
      </c>
      <c r="L20" s="122" t="e">
        <f>客服部最终提成计算表!$X31*0.15*0.8*0.05*'18年合同登记表'!V21/'18年合同登记表'!$M21</f>
        <v>#REF!</v>
      </c>
      <c r="M20" s="122" t="e">
        <f>客服部最终提成计算表!$X31*0.15*0.8*0.02*'18年合同登记表'!V21/'18年合同登记表'!$M21</f>
        <v>#REF!</v>
      </c>
      <c r="N20" s="122" t="e">
        <f>客服部最终提成计算表!$X31*0.15*0.8*0.85*'18年合同登记表'!X21/'18年合同登记表'!$M21</f>
        <v>#REF!</v>
      </c>
      <c r="O20" s="122" t="e">
        <f>客服部最终提成计算表!$X31*0.15*0.8*0.08*'18年合同登记表'!X21/'18年合同登记表'!$M21</f>
        <v>#REF!</v>
      </c>
      <c r="P20" s="122" t="e">
        <f>客服部最终提成计算表!$X31*0.15*0.8*0.05*'18年合同登记表'!X21/'18年合同登记表'!$M21</f>
        <v>#REF!</v>
      </c>
      <c r="Q20" s="122" t="e">
        <f>客服部最终提成计算表!$X31*0.15*0.8*0.02*'18年合同登记表'!X21/'18年合同登记表'!$M21</f>
        <v>#REF!</v>
      </c>
      <c r="R20" s="122" t="e">
        <f>客服部最终提成计算表!$X31*0.15*0.8*0.85*'18年合同登记表'!Z21/'18年合同登记表'!$M21</f>
        <v>#REF!</v>
      </c>
      <c r="S20" s="122" t="e">
        <f>客服部最终提成计算表!$X31*0.15*0.8*0.08*'18年合同登记表'!Z21/'18年合同登记表'!$M21</f>
        <v>#REF!</v>
      </c>
      <c r="T20" s="122" t="e">
        <f>客服部最终提成计算表!$X31*0.15*0.8*0.05*'18年合同登记表'!Z21/'18年合同登记表'!$M21</f>
        <v>#REF!</v>
      </c>
      <c r="U20" s="122" t="e">
        <f>客服部最终提成计算表!$X31*0.15*0.8*0.02*'18年合同登记表'!Z21/'18年合同登记表'!$M21</f>
        <v>#REF!</v>
      </c>
      <c r="V20" s="122" t="e">
        <f>客服部最终提成计算表!$X31*0.15*0.8*0.85*'18年合同登记表'!AB21/'18年合同登记表'!$M21</f>
        <v>#REF!</v>
      </c>
      <c r="W20" s="122" t="e">
        <f>客服部最终提成计算表!$X31*0.15*0.8*0.08*'18年合同登记表'!AB21/'18年合同登记表'!$M21</f>
        <v>#REF!</v>
      </c>
      <c r="X20" s="122" t="e">
        <f>客服部最终提成计算表!$X31*0.15*0.8*0.05*'18年合同登记表'!AB21/'18年合同登记表'!$M21</f>
        <v>#REF!</v>
      </c>
      <c r="Y20" s="122" t="e">
        <f>客服部最终提成计算表!$X31*0.15*0.8*0.02*'18年合同登记表'!AB21/'18年合同登记表'!$M21</f>
        <v>#REF!</v>
      </c>
      <c r="Z20" s="122" t="e">
        <f>客服部最终提成计算表!$X31*0.15*0.8*0.85*'18年合同登记表'!AD21/'18年合同登记表'!$M21</f>
        <v>#REF!</v>
      </c>
      <c r="AA20" s="122" t="e">
        <f>客服部最终提成计算表!$X31*0.15*0.8*0.08*'18年合同登记表'!AD21/'18年合同登记表'!$M21</f>
        <v>#REF!</v>
      </c>
      <c r="AB20" s="122" t="e">
        <f>客服部最终提成计算表!$X31*0.15*0.8*0.05*'18年合同登记表'!AD21/'18年合同登记表'!$M21</f>
        <v>#REF!</v>
      </c>
      <c r="AC20" s="122" t="e">
        <f>客服部最终提成计算表!$X31*0.15*0.8*0.02*'18年合同登记表'!AD21/'18年合同登记表'!$M21</f>
        <v>#REF!</v>
      </c>
      <c r="AD20" s="122" t="e">
        <f>客服部最终提成计算表!$X31*0.15*0.8*0.85*'18年合同登记表'!AF21/'18年合同登记表'!$M21</f>
        <v>#REF!</v>
      </c>
      <c r="AE20" s="122" t="e">
        <f>客服部最终提成计算表!$X31*0.15*0.8*0.08*'18年合同登记表'!AF21/'18年合同登记表'!$M21</f>
        <v>#REF!</v>
      </c>
      <c r="AF20" s="122" t="e">
        <f>客服部最终提成计算表!$X31*0.15*0.8*0.05*'18年合同登记表'!AF21/'18年合同登记表'!$M21</f>
        <v>#REF!</v>
      </c>
      <c r="AG20" s="122" t="e">
        <f>客服部最终提成计算表!$X31*0.15*0.8*0.02*'18年合同登记表'!AF21/'18年合同登记表'!$M21</f>
        <v>#REF!</v>
      </c>
      <c r="AH20" s="122" t="e">
        <f>客服部最终提成计算表!$X31*0.15*0.8*0.85*'18年合同登记表'!AH21/'18年合同登记表'!$M21</f>
        <v>#REF!</v>
      </c>
      <c r="AI20" s="122" t="e">
        <f>客服部最终提成计算表!$X31*0.15*0.8*0.08*'18年合同登记表'!AH21/'18年合同登记表'!$M21</f>
        <v>#REF!</v>
      </c>
      <c r="AJ20" s="122" t="e">
        <f>客服部最终提成计算表!$X31*0.15*0.8*0.05*'18年合同登记表'!AH21/'18年合同登记表'!$M21</f>
        <v>#REF!</v>
      </c>
      <c r="AK20" s="122" t="e">
        <f>客服部最终提成计算表!$X31*0.15*0.8*0.02*'18年合同登记表'!AH21/'18年合同登记表'!$M21</f>
        <v>#REF!</v>
      </c>
      <c r="AL20" s="122" t="e">
        <f>客服部最终提成计算表!$X31*0.15*0.8*0.85*'18年合同登记表'!AJ21/'18年合同登记表'!$M21</f>
        <v>#REF!</v>
      </c>
      <c r="AM20" s="122" t="e">
        <f>客服部最终提成计算表!$X31*0.15*0.8*0.08*'18年合同登记表'!AJ21/'18年合同登记表'!$M21</f>
        <v>#REF!</v>
      </c>
      <c r="AN20" s="122" t="e">
        <f>客服部最终提成计算表!$X31*0.15*0.8*0.05*'18年合同登记表'!AJ21/'18年合同登记表'!$M21</f>
        <v>#REF!</v>
      </c>
      <c r="AO20" s="122" t="e">
        <f>客服部最终提成计算表!$X31*0.15*0.8*0.02*'18年合同登记表'!AJ21/'18年合同登记表'!$M21</f>
        <v>#REF!</v>
      </c>
      <c r="AP20" s="122" t="e">
        <f>客服部最终提成计算表!$X31*0.15*0.8*0.85*'18年合同登记表'!AL21/'18年合同登记表'!$M21</f>
        <v>#REF!</v>
      </c>
      <c r="AQ20" s="122" t="e">
        <f>客服部最终提成计算表!$X31*0.15*0.8*0.08*'18年合同登记表'!AL21/'18年合同登记表'!$M21</f>
        <v>#REF!</v>
      </c>
      <c r="AR20" s="122" t="e">
        <f>客服部最终提成计算表!$X31*0.15*0.8*0.05*'18年合同登记表'!AL21/'18年合同登记表'!$M21</f>
        <v>#REF!</v>
      </c>
      <c r="AS20" s="122" t="e">
        <f>客服部最终提成计算表!$X31*0.15*0.8*0.02*'18年合同登记表'!AL21/'18年合同登记表'!$M21</f>
        <v>#REF!</v>
      </c>
      <c r="AT20" s="122" t="e">
        <f>客服部最终提成计算表!$X31*0.15*0.8*0.85*'18年合同登记表'!AN21/'18年合同登记表'!$M21</f>
        <v>#REF!</v>
      </c>
      <c r="AU20" s="122" t="e">
        <f>客服部最终提成计算表!$X31*0.15*0.8*0.08*'18年合同登记表'!AN21/'18年合同登记表'!$M21</f>
        <v>#REF!</v>
      </c>
      <c r="AV20" s="122" t="e">
        <f>客服部最终提成计算表!$X31*0.15*0.8*0.05*'18年合同登记表'!AN21/'18年合同登记表'!$M21</f>
        <v>#REF!</v>
      </c>
      <c r="AW20" s="122" t="e">
        <f>客服部最终提成计算表!$X31*0.15*0.8*0.02*'18年合同登记表'!AN21/'18年合同登记表'!$M21</f>
        <v>#REF!</v>
      </c>
      <c r="AX20" s="122" t="e">
        <f>客服部最终提成计算表!$X31*0.15*0.8*0.85*'18年合同登记表'!AP21/'18年合同登记表'!$M21</f>
        <v>#REF!</v>
      </c>
      <c r="AY20" s="122" t="e">
        <f>客服部最终提成计算表!$X31*0.15*0.8*0.08*'18年合同登记表'!AP21/'18年合同登记表'!$M21</f>
        <v>#REF!</v>
      </c>
      <c r="AZ20" s="122" t="e">
        <f>客服部最终提成计算表!$X31*0.15*0.8*0.05*'18年合同登记表'!AP21/'18年合同登记表'!$M21</f>
        <v>#REF!</v>
      </c>
      <c r="BA20" s="131" t="e">
        <f>客服部最终提成计算表!$X31*0.15*0.8*0.02*'18年合同登记表'!AP21/'18年合同登记表'!$M21</f>
        <v>#REF!</v>
      </c>
    </row>
    <row r="21" s="104" customFormat="1" ht="14.25" spans="1:53">
      <c r="A21" s="117">
        <v>17</v>
      </c>
      <c r="B21" s="118" t="str">
        <f>'18年合同登记表'!F22</f>
        <v>吉林国投</v>
      </c>
      <c r="C21" s="119" t="str">
        <f>'18年合同登记表'!H22</f>
        <v>NHY-20180121-Q-01-01-044</v>
      </c>
      <c r="D21" s="119" t="str">
        <f>'18年合同登记表'!I22</f>
        <v>更换压缩机</v>
      </c>
      <c r="E21" s="120" t="str">
        <f>'18年合同登记表'!L22</f>
        <v>李劲</v>
      </c>
      <c r="F21" s="121" t="e">
        <f>客服部最终提成计算表!$X32*0.15*0.8*0.85*'18年合同登记表'!T22/'18年合同登记表'!$M22</f>
        <v>#REF!</v>
      </c>
      <c r="G21" s="122" t="e">
        <f>客服部最终提成计算表!$X32*0.15*0.8*0.08*'18年合同登记表'!T22/'18年合同登记表'!$M22</f>
        <v>#REF!</v>
      </c>
      <c r="H21" s="122" t="e">
        <f>客服部最终提成计算表!$X32*0.15*0.8*0.05*'18年合同登记表'!T22/'18年合同登记表'!$M22</f>
        <v>#REF!</v>
      </c>
      <c r="I21" s="122" t="e">
        <f>客服部最终提成计算表!$X32*0.15*0.8*0.02*'18年合同登记表'!T22/'18年合同登记表'!$M22</f>
        <v>#REF!</v>
      </c>
      <c r="J21" s="122" t="e">
        <f>客服部最终提成计算表!$X32*0.15*0.8*0.85*'18年合同登记表'!V22/'18年合同登记表'!$M22</f>
        <v>#REF!</v>
      </c>
      <c r="K21" s="122" t="e">
        <f>客服部最终提成计算表!$X32*0.15*0.8*0.08*'18年合同登记表'!V22/'18年合同登记表'!$M22</f>
        <v>#REF!</v>
      </c>
      <c r="L21" s="122" t="e">
        <f>客服部最终提成计算表!$X32*0.15*0.8*0.05*'18年合同登记表'!V22/'18年合同登记表'!$M22</f>
        <v>#REF!</v>
      </c>
      <c r="M21" s="122" t="e">
        <f>客服部最终提成计算表!$X32*0.15*0.8*0.02*'18年合同登记表'!V22/'18年合同登记表'!$M22</f>
        <v>#REF!</v>
      </c>
      <c r="N21" s="122" t="e">
        <f>客服部最终提成计算表!$X32*0.15*0.8*0.85*'18年合同登记表'!X22/'18年合同登记表'!$M22</f>
        <v>#REF!</v>
      </c>
      <c r="O21" s="122" t="e">
        <f>客服部最终提成计算表!$X32*0.15*0.8*0.08*'18年合同登记表'!X22/'18年合同登记表'!$M22</f>
        <v>#REF!</v>
      </c>
      <c r="P21" s="122" t="e">
        <f>客服部最终提成计算表!$X32*0.15*0.8*0.05*'18年合同登记表'!X22/'18年合同登记表'!$M22</f>
        <v>#REF!</v>
      </c>
      <c r="Q21" s="122" t="e">
        <f>客服部最终提成计算表!$X32*0.15*0.8*0.02*'18年合同登记表'!X22/'18年合同登记表'!$M22</f>
        <v>#REF!</v>
      </c>
      <c r="R21" s="122" t="e">
        <f>客服部最终提成计算表!$X32*0.15*0.8*0.85*'18年合同登记表'!Z22/'18年合同登记表'!$M22</f>
        <v>#REF!</v>
      </c>
      <c r="S21" s="122" t="e">
        <f>客服部最终提成计算表!$X32*0.15*0.8*0.08*'18年合同登记表'!Z22/'18年合同登记表'!$M22</f>
        <v>#REF!</v>
      </c>
      <c r="T21" s="122" t="e">
        <f>客服部最终提成计算表!$X32*0.15*0.8*0.05*'18年合同登记表'!Z22/'18年合同登记表'!$M22</f>
        <v>#REF!</v>
      </c>
      <c r="U21" s="122" t="e">
        <f>客服部最终提成计算表!$X32*0.15*0.8*0.02*'18年合同登记表'!Z22/'18年合同登记表'!$M22</f>
        <v>#REF!</v>
      </c>
      <c r="V21" s="122" t="e">
        <f>客服部最终提成计算表!$X32*0.15*0.8*0.85*'18年合同登记表'!AB22/'18年合同登记表'!$M22</f>
        <v>#REF!</v>
      </c>
      <c r="W21" s="122" t="e">
        <f>客服部最终提成计算表!$X32*0.15*0.8*0.08*'18年合同登记表'!AB22/'18年合同登记表'!$M22</f>
        <v>#REF!</v>
      </c>
      <c r="X21" s="122" t="e">
        <f>客服部最终提成计算表!$X32*0.15*0.8*0.05*'18年合同登记表'!AB22/'18年合同登记表'!$M22</f>
        <v>#REF!</v>
      </c>
      <c r="Y21" s="122" t="e">
        <f>客服部最终提成计算表!$X32*0.15*0.8*0.02*'18年合同登记表'!AB22/'18年合同登记表'!$M22</f>
        <v>#REF!</v>
      </c>
      <c r="Z21" s="122" t="e">
        <f>客服部最终提成计算表!$X32*0.15*0.8*0.85*'18年合同登记表'!AD22/'18年合同登记表'!$M22</f>
        <v>#REF!</v>
      </c>
      <c r="AA21" s="122" t="e">
        <f>客服部最终提成计算表!$X32*0.15*0.8*0.08*'18年合同登记表'!AD22/'18年合同登记表'!$M22</f>
        <v>#REF!</v>
      </c>
      <c r="AB21" s="122" t="e">
        <f>客服部最终提成计算表!$X32*0.15*0.8*0.05*'18年合同登记表'!AD22/'18年合同登记表'!$M22</f>
        <v>#REF!</v>
      </c>
      <c r="AC21" s="122" t="e">
        <f>客服部最终提成计算表!$X32*0.15*0.8*0.02*'18年合同登记表'!AD22/'18年合同登记表'!$M22</f>
        <v>#REF!</v>
      </c>
      <c r="AD21" s="122" t="e">
        <f>客服部最终提成计算表!$X32*0.15*0.8*0.85*'18年合同登记表'!AF22/'18年合同登记表'!$M22</f>
        <v>#REF!</v>
      </c>
      <c r="AE21" s="122" t="e">
        <f>客服部最终提成计算表!$X32*0.15*0.8*0.08*'18年合同登记表'!AF22/'18年合同登记表'!$M22</f>
        <v>#REF!</v>
      </c>
      <c r="AF21" s="122" t="e">
        <f>客服部最终提成计算表!$X32*0.15*0.8*0.05*'18年合同登记表'!AF22/'18年合同登记表'!$M22</f>
        <v>#REF!</v>
      </c>
      <c r="AG21" s="122" t="e">
        <f>客服部最终提成计算表!$X32*0.15*0.8*0.02*'18年合同登记表'!AF22/'18年合同登记表'!$M22</f>
        <v>#REF!</v>
      </c>
      <c r="AH21" s="122" t="e">
        <f>客服部最终提成计算表!$X32*0.15*0.8*0.85*'18年合同登记表'!AH22/'18年合同登记表'!$M22</f>
        <v>#REF!</v>
      </c>
      <c r="AI21" s="122" t="e">
        <f>客服部最终提成计算表!$X32*0.15*0.8*0.08*'18年合同登记表'!AH22/'18年合同登记表'!$M22</f>
        <v>#REF!</v>
      </c>
      <c r="AJ21" s="122" t="e">
        <f>客服部最终提成计算表!$X32*0.15*0.8*0.05*'18年合同登记表'!AH22/'18年合同登记表'!$M22</f>
        <v>#REF!</v>
      </c>
      <c r="AK21" s="122" t="e">
        <f>客服部最终提成计算表!$X32*0.15*0.8*0.02*'18年合同登记表'!AH22/'18年合同登记表'!$M22</f>
        <v>#REF!</v>
      </c>
      <c r="AL21" s="122" t="e">
        <f>客服部最终提成计算表!$X32*0.15*0.8*0.85*'18年合同登记表'!AJ22/'18年合同登记表'!$M22</f>
        <v>#REF!</v>
      </c>
      <c r="AM21" s="122" t="e">
        <f>客服部最终提成计算表!$X32*0.15*0.8*0.08*'18年合同登记表'!AJ22/'18年合同登记表'!$M22</f>
        <v>#REF!</v>
      </c>
      <c r="AN21" s="122" t="e">
        <f>客服部最终提成计算表!$X32*0.15*0.8*0.05*'18年合同登记表'!AJ22/'18年合同登记表'!$M22</f>
        <v>#REF!</v>
      </c>
      <c r="AO21" s="122" t="e">
        <f>客服部最终提成计算表!$X32*0.15*0.8*0.02*'18年合同登记表'!AJ22/'18年合同登记表'!$M22</f>
        <v>#REF!</v>
      </c>
      <c r="AP21" s="122" t="e">
        <f>客服部最终提成计算表!$X32*0.15*0.8*0.85*'18年合同登记表'!AL22/'18年合同登记表'!$M22</f>
        <v>#REF!</v>
      </c>
      <c r="AQ21" s="122" t="e">
        <f>客服部最终提成计算表!$X32*0.15*0.8*0.08*'18年合同登记表'!AL22/'18年合同登记表'!$M22</f>
        <v>#REF!</v>
      </c>
      <c r="AR21" s="122" t="e">
        <f>客服部最终提成计算表!$X32*0.15*0.8*0.05*'18年合同登记表'!AL22/'18年合同登记表'!$M22</f>
        <v>#REF!</v>
      </c>
      <c r="AS21" s="122" t="e">
        <f>客服部最终提成计算表!$X32*0.15*0.8*0.02*'18年合同登记表'!AL22/'18年合同登记表'!$M22</f>
        <v>#REF!</v>
      </c>
      <c r="AT21" s="122" t="e">
        <f>客服部最终提成计算表!$X32*0.15*0.8*0.85*'18年合同登记表'!AN22/'18年合同登记表'!$M22</f>
        <v>#REF!</v>
      </c>
      <c r="AU21" s="122" t="e">
        <f>客服部最终提成计算表!$X32*0.15*0.8*0.08*'18年合同登记表'!AN22/'18年合同登记表'!$M22</f>
        <v>#REF!</v>
      </c>
      <c r="AV21" s="122" t="e">
        <f>客服部最终提成计算表!$X32*0.15*0.8*0.05*'18年合同登记表'!AN22/'18年合同登记表'!$M22</f>
        <v>#REF!</v>
      </c>
      <c r="AW21" s="122" t="e">
        <f>客服部最终提成计算表!$X32*0.15*0.8*0.02*'18年合同登记表'!AN22/'18年合同登记表'!$M22</f>
        <v>#REF!</v>
      </c>
      <c r="AX21" s="122" t="e">
        <f>客服部最终提成计算表!$X32*0.15*0.8*0.85*'18年合同登记表'!AP22/'18年合同登记表'!$M22</f>
        <v>#REF!</v>
      </c>
      <c r="AY21" s="122" t="e">
        <f>客服部最终提成计算表!$X32*0.15*0.8*0.08*'18年合同登记表'!AP22/'18年合同登记表'!$M22</f>
        <v>#REF!</v>
      </c>
      <c r="AZ21" s="122" t="e">
        <f>客服部最终提成计算表!$X32*0.15*0.8*0.05*'18年合同登记表'!AP22/'18年合同登记表'!$M22</f>
        <v>#REF!</v>
      </c>
      <c r="BA21" s="131" t="e">
        <f>客服部最终提成计算表!$X32*0.15*0.8*0.02*'18年合同登记表'!AP22/'18年合同登记表'!$M22</f>
        <v>#REF!</v>
      </c>
    </row>
    <row r="22" s="104" customFormat="1" ht="14.25" spans="1:53">
      <c r="A22" s="117">
        <v>18</v>
      </c>
      <c r="B22" s="118" t="str">
        <f>'18年合同登记表'!F23</f>
        <v>中科华誉</v>
      </c>
      <c r="C22" s="119" t="str">
        <f>'18年合同登记表'!H23</f>
        <v>NHY-20180130-Q-01-01-044</v>
      </c>
      <c r="D22" s="119" t="str">
        <f>'18年合同登记表'!I23</f>
        <v>更换压缩机（清华大学15#机组）</v>
      </c>
      <c r="E22" s="120" t="str">
        <f>'18年合同登记表'!L23</f>
        <v>李劲</v>
      </c>
      <c r="F22" s="121" t="e">
        <f>客服部最终提成计算表!$X33*0.15*0.8*0.85*'18年合同登记表'!T23/'18年合同登记表'!$M23</f>
        <v>#REF!</v>
      </c>
      <c r="G22" s="122" t="e">
        <f>客服部最终提成计算表!$X33*0.15*0.8*0.08*'18年合同登记表'!T23/'18年合同登记表'!$M23</f>
        <v>#REF!</v>
      </c>
      <c r="H22" s="122" t="e">
        <f>客服部最终提成计算表!$X33*0.15*0.8*0.05*'18年合同登记表'!T23/'18年合同登记表'!$M23</f>
        <v>#REF!</v>
      </c>
      <c r="I22" s="122" t="e">
        <f>客服部最终提成计算表!$X33*0.15*0.8*0.02*'18年合同登记表'!T23/'18年合同登记表'!$M23</f>
        <v>#REF!</v>
      </c>
      <c r="J22" s="122" t="e">
        <f>客服部最终提成计算表!$X33*0.15*0.8*0.85*'18年合同登记表'!V23/'18年合同登记表'!$M23</f>
        <v>#REF!</v>
      </c>
      <c r="K22" s="122" t="e">
        <f>客服部最终提成计算表!$X33*0.15*0.8*0.08*'18年合同登记表'!V23/'18年合同登记表'!$M23</f>
        <v>#REF!</v>
      </c>
      <c r="L22" s="122" t="e">
        <f>客服部最终提成计算表!$X33*0.15*0.8*0.05*'18年合同登记表'!V23/'18年合同登记表'!$M23</f>
        <v>#REF!</v>
      </c>
      <c r="M22" s="122" t="e">
        <f>客服部最终提成计算表!$X33*0.15*0.8*0.02*'18年合同登记表'!V23/'18年合同登记表'!$M23</f>
        <v>#REF!</v>
      </c>
      <c r="N22" s="122" t="e">
        <f>客服部最终提成计算表!$X33*0.15*0.8*0.85*'18年合同登记表'!X23/'18年合同登记表'!$M23</f>
        <v>#REF!</v>
      </c>
      <c r="O22" s="122" t="e">
        <f>客服部最终提成计算表!$X33*0.15*0.8*0.08*'18年合同登记表'!X23/'18年合同登记表'!$M23</f>
        <v>#REF!</v>
      </c>
      <c r="P22" s="122" t="e">
        <f>客服部最终提成计算表!$X33*0.15*0.8*0.05*'18年合同登记表'!X23/'18年合同登记表'!$M23</f>
        <v>#REF!</v>
      </c>
      <c r="Q22" s="122" t="e">
        <f>客服部最终提成计算表!$X33*0.15*0.8*0.02*'18年合同登记表'!X23/'18年合同登记表'!$M23</f>
        <v>#REF!</v>
      </c>
      <c r="R22" s="122" t="e">
        <f>客服部最终提成计算表!$X33*0.15*0.8*0.85*'18年合同登记表'!Z23/'18年合同登记表'!$M23</f>
        <v>#REF!</v>
      </c>
      <c r="S22" s="122" t="e">
        <f>客服部最终提成计算表!$X33*0.15*0.8*0.08*'18年合同登记表'!Z23/'18年合同登记表'!$M23</f>
        <v>#REF!</v>
      </c>
      <c r="T22" s="122" t="e">
        <f>客服部最终提成计算表!$X33*0.15*0.8*0.05*'18年合同登记表'!Z23/'18年合同登记表'!$M23</f>
        <v>#REF!</v>
      </c>
      <c r="U22" s="122" t="e">
        <f>客服部最终提成计算表!$X33*0.15*0.8*0.02*'18年合同登记表'!Z23/'18年合同登记表'!$M23</f>
        <v>#REF!</v>
      </c>
      <c r="V22" s="122" t="e">
        <f>客服部最终提成计算表!$X33*0.15*0.8*0.85*'18年合同登记表'!AB23/'18年合同登记表'!$M23</f>
        <v>#REF!</v>
      </c>
      <c r="W22" s="122" t="e">
        <f>客服部最终提成计算表!$X33*0.15*0.8*0.08*'18年合同登记表'!AB23/'18年合同登记表'!$M23</f>
        <v>#REF!</v>
      </c>
      <c r="X22" s="122" t="e">
        <f>客服部最终提成计算表!$X33*0.15*0.8*0.05*'18年合同登记表'!AB23/'18年合同登记表'!$M23</f>
        <v>#REF!</v>
      </c>
      <c r="Y22" s="122" t="e">
        <f>客服部最终提成计算表!$X33*0.15*0.8*0.02*'18年合同登记表'!AB23/'18年合同登记表'!$M23</f>
        <v>#REF!</v>
      </c>
      <c r="Z22" s="122" t="e">
        <f>客服部最终提成计算表!$X33*0.15*0.8*0.85*'18年合同登记表'!AD23/'18年合同登记表'!$M23</f>
        <v>#REF!</v>
      </c>
      <c r="AA22" s="122" t="e">
        <f>客服部最终提成计算表!$X33*0.15*0.8*0.08*'18年合同登记表'!AD23/'18年合同登记表'!$M23</f>
        <v>#REF!</v>
      </c>
      <c r="AB22" s="122" t="e">
        <f>客服部最终提成计算表!$X33*0.15*0.8*0.05*'18年合同登记表'!AD23/'18年合同登记表'!$M23</f>
        <v>#REF!</v>
      </c>
      <c r="AC22" s="122" t="e">
        <f>客服部最终提成计算表!$X33*0.15*0.8*0.02*'18年合同登记表'!AD23/'18年合同登记表'!$M23</f>
        <v>#REF!</v>
      </c>
      <c r="AD22" s="122" t="e">
        <f>客服部最终提成计算表!$X33*0.15*0.8*0.85*'18年合同登记表'!AF23/'18年合同登记表'!$M23</f>
        <v>#REF!</v>
      </c>
      <c r="AE22" s="122" t="e">
        <f>客服部最终提成计算表!$X33*0.15*0.8*0.08*'18年合同登记表'!AF23/'18年合同登记表'!$M23</f>
        <v>#REF!</v>
      </c>
      <c r="AF22" s="122" t="e">
        <f>客服部最终提成计算表!$X33*0.15*0.8*0.05*'18年合同登记表'!AF23/'18年合同登记表'!$M23</f>
        <v>#REF!</v>
      </c>
      <c r="AG22" s="122" t="e">
        <f>客服部最终提成计算表!$X33*0.15*0.8*0.02*'18年合同登记表'!AF23/'18年合同登记表'!$M23</f>
        <v>#REF!</v>
      </c>
      <c r="AH22" s="122" t="e">
        <f>客服部最终提成计算表!$X33*0.15*0.8*0.85*'18年合同登记表'!AH23/'18年合同登记表'!$M23</f>
        <v>#REF!</v>
      </c>
      <c r="AI22" s="122" t="e">
        <f>客服部最终提成计算表!$X33*0.15*0.8*0.08*'18年合同登记表'!AH23/'18年合同登记表'!$M23</f>
        <v>#REF!</v>
      </c>
      <c r="AJ22" s="122" t="e">
        <f>客服部最终提成计算表!$X33*0.15*0.8*0.05*'18年合同登记表'!AH23/'18年合同登记表'!$M23</f>
        <v>#REF!</v>
      </c>
      <c r="AK22" s="122" t="e">
        <f>客服部最终提成计算表!$X33*0.15*0.8*0.02*'18年合同登记表'!AH23/'18年合同登记表'!$M23</f>
        <v>#REF!</v>
      </c>
      <c r="AL22" s="122" t="e">
        <f>客服部最终提成计算表!$X33*0.15*0.8*0.85*'18年合同登记表'!AJ23/'18年合同登记表'!$M23</f>
        <v>#REF!</v>
      </c>
      <c r="AM22" s="122" t="e">
        <f>客服部最终提成计算表!$X33*0.15*0.8*0.08*'18年合同登记表'!AJ23/'18年合同登记表'!$M23</f>
        <v>#REF!</v>
      </c>
      <c r="AN22" s="122" t="e">
        <f>客服部最终提成计算表!$X33*0.15*0.8*0.05*'18年合同登记表'!AJ23/'18年合同登记表'!$M23</f>
        <v>#REF!</v>
      </c>
      <c r="AO22" s="122" t="e">
        <f>客服部最终提成计算表!$X33*0.15*0.8*0.02*'18年合同登记表'!AJ23/'18年合同登记表'!$M23</f>
        <v>#REF!</v>
      </c>
      <c r="AP22" s="122" t="e">
        <f>客服部最终提成计算表!$X33*0.15*0.8*0.85*'18年合同登记表'!AL23/'18年合同登记表'!$M23</f>
        <v>#REF!</v>
      </c>
      <c r="AQ22" s="122" t="e">
        <f>客服部最终提成计算表!$X33*0.15*0.8*0.08*'18年合同登记表'!AL23/'18年合同登记表'!$M23</f>
        <v>#REF!</v>
      </c>
      <c r="AR22" s="122" t="e">
        <f>客服部最终提成计算表!$X33*0.15*0.8*0.05*'18年合同登记表'!AL23/'18年合同登记表'!$M23</f>
        <v>#REF!</v>
      </c>
      <c r="AS22" s="122" t="e">
        <f>客服部最终提成计算表!$X33*0.15*0.8*0.02*'18年合同登记表'!AL23/'18年合同登记表'!$M23</f>
        <v>#REF!</v>
      </c>
      <c r="AT22" s="122" t="e">
        <f>客服部最终提成计算表!$X33*0.15*0.8*0.85*'18年合同登记表'!AN23/'18年合同登记表'!$M23</f>
        <v>#REF!</v>
      </c>
      <c r="AU22" s="122" t="e">
        <f>客服部最终提成计算表!$X33*0.15*0.8*0.08*'18年合同登记表'!AN23/'18年合同登记表'!$M23</f>
        <v>#REF!</v>
      </c>
      <c r="AV22" s="122" t="e">
        <f>客服部最终提成计算表!$X33*0.15*0.8*0.05*'18年合同登记表'!AN23/'18年合同登记表'!$M23</f>
        <v>#REF!</v>
      </c>
      <c r="AW22" s="122" t="e">
        <f>客服部最终提成计算表!$X33*0.15*0.8*0.02*'18年合同登记表'!AN23/'18年合同登记表'!$M23</f>
        <v>#REF!</v>
      </c>
      <c r="AX22" s="122" t="e">
        <f>客服部最终提成计算表!$X33*0.15*0.8*0.85*'18年合同登记表'!AP23/'18年合同登记表'!$M23</f>
        <v>#REF!</v>
      </c>
      <c r="AY22" s="122" t="e">
        <f>客服部最终提成计算表!$X33*0.15*0.8*0.08*'18年合同登记表'!AP23/'18年合同登记表'!$M23</f>
        <v>#REF!</v>
      </c>
      <c r="AZ22" s="122" t="e">
        <f>客服部最终提成计算表!$X33*0.15*0.8*0.05*'18年合同登记表'!AP23/'18年合同登记表'!$M23</f>
        <v>#REF!</v>
      </c>
      <c r="BA22" s="131" t="e">
        <f>客服部最终提成计算表!$X33*0.15*0.8*0.02*'18年合同登记表'!AP23/'18年合同登记表'!$M23</f>
        <v>#REF!</v>
      </c>
    </row>
    <row r="23" s="104" customFormat="1" ht="14.25" spans="1:53">
      <c r="A23" s="117">
        <v>19</v>
      </c>
      <c r="B23" s="118" t="str">
        <f>'18年合同登记表'!F24</f>
        <v>中科华誉</v>
      </c>
      <c r="C23" s="119" t="str">
        <f>'18年合同登记表'!H24</f>
        <v>NHY-20180123-Q-01-01-044</v>
      </c>
      <c r="D23" s="119" t="str">
        <f>'18年合同登记表'!I24</f>
        <v>捡漏补漏（21号站颐和园）</v>
      </c>
      <c r="E23" s="120" t="str">
        <f>'18年合同登记表'!L24</f>
        <v>李劲</v>
      </c>
      <c r="F23" s="121">
        <f>客服部最终提成计算表!$X34*0.15*0.8*0.85*'18年合同登记表'!T24/'18年合同登记表'!$M24</f>
        <v>0</v>
      </c>
      <c r="G23" s="122">
        <f>客服部最终提成计算表!$X34*0.15*0.8*0.08*'18年合同登记表'!T24/'18年合同登记表'!$M24</f>
        <v>0</v>
      </c>
      <c r="H23" s="122">
        <f>客服部最终提成计算表!$X34*0.15*0.8*0.05*'18年合同登记表'!T24/'18年合同登记表'!$M24</f>
        <v>0</v>
      </c>
      <c r="I23" s="122">
        <f>客服部最终提成计算表!$X34*0.15*0.8*0.02*'18年合同登记表'!T24/'18年合同登记表'!$M24</f>
        <v>0</v>
      </c>
      <c r="J23" s="122">
        <f>客服部最终提成计算表!$X34*0.15*0.8*0.85*'18年合同登记表'!V24/'18年合同登记表'!$M24</f>
        <v>163.2</v>
      </c>
      <c r="K23" s="122">
        <f>客服部最终提成计算表!$X34*0.15*0.8*0.08*'18年合同登记表'!V24/'18年合同登记表'!$M24</f>
        <v>15.36</v>
      </c>
      <c r="L23" s="122">
        <f>客服部最终提成计算表!$X34*0.15*0.8*0.05*'18年合同登记表'!V24/'18年合同登记表'!$M24</f>
        <v>9.6</v>
      </c>
      <c r="M23" s="122">
        <f>客服部最终提成计算表!$X34*0.15*0.8*0.02*'18年合同登记表'!V24/'18年合同登记表'!$M24</f>
        <v>3.84</v>
      </c>
      <c r="N23" s="122">
        <f>客服部最终提成计算表!$X34*0.15*0.8*0.85*'18年合同登记表'!X24/'18年合同登记表'!$M24</f>
        <v>0</v>
      </c>
      <c r="O23" s="122">
        <f>客服部最终提成计算表!$X34*0.15*0.8*0.08*'18年合同登记表'!X24/'18年合同登记表'!$M24</f>
        <v>0</v>
      </c>
      <c r="P23" s="122">
        <f>客服部最终提成计算表!$X34*0.15*0.8*0.05*'18年合同登记表'!X24/'18年合同登记表'!$M24</f>
        <v>0</v>
      </c>
      <c r="Q23" s="122">
        <f>客服部最终提成计算表!$X34*0.15*0.8*0.02*'18年合同登记表'!X24/'18年合同登记表'!$M24</f>
        <v>0</v>
      </c>
      <c r="R23" s="122">
        <f>客服部最终提成计算表!$X34*0.15*0.8*0.85*'18年合同登记表'!Z24/'18年合同登记表'!$M24</f>
        <v>0</v>
      </c>
      <c r="S23" s="122">
        <f>客服部最终提成计算表!$X34*0.15*0.8*0.08*'18年合同登记表'!Z24/'18年合同登记表'!$M24</f>
        <v>0</v>
      </c>
      <c r="T23" s="122">
        <f>客服部最终提成计算表!$X34*0.15*0.8*0.05*'18年合同登记表'!Z24/'18年合同登记表'!$M24</f>
        <v>0</v>
      </c>
      <c r="U23" s="122">
        <f>客服部最终提成计算表!$X34*0.15*0.8*0.02*'18年合同登记表'!Z24/'18年合同登记表'!$M24</f>
        <v>0</v>
      </c>
      <c r="V23" s="122">
        <f>客服部最终提成计算表!$X34*0.15*0.8*0.85*'18年合同登记表'!AB24/'18年合同登记表'!$M24</f>
        <v>0</v>
      </c>
      <c r="W23" s="122">
        <f>客服部最终提成计算表!$X34*0.15*0.8*0.08*'18年合同登记表'!AB24/'18年合同登记表'!$M24</f>
        <v>0</v>
      </c>
      <c r="X23" s="122">
        <f>客服部最终提成计算表!$X34*0.15*0.8*0.05*'18年合同登记表'!AB24/'18年合同登记表'!$M24</f>
        <v>0</v>
      </c>
      <c r="Y23" s="122">
        <f>客服部最终提成计算表!$X34*0.15*0.8*0.02*'18年合同登记表'!AB24/'18年合同登记表'!$M24</f>
        <v>0</v>
      </c>
      <c r="Z23" s="122">
        <f>客服部最终提成计算表!$X34*0.15*0.8*0.85*'18年合同登记表'!AD24/'18年合同登记表'!$M24</f>
        <v>0</v>
      </c>
      <c r="AA23" s="122">
        <f>客服部最终提成计算表!$X34*0.15*0.8*0.08*'18年合同登记表'!AD24/'18年合同登记表'!$M24</f>
        <v>0</v>
      </c>
      <c r="AB23" s="122">
        <f>客服部最终提成计算表!$X34*0.15*0.8*0.05*'18年合同登记表'!AD24/'18年合同登记表'!$M24</f>
        <v>0</v>
      </c>
      <c r="AC23" s="122">
        <f>客服部最终提成计算表!$X34*0.15*0.8*0.02*'18年合同登记表'!AD24/'18年合同登记表'!$M24</f>
        <v>0</v>
      </c>
      <c r="AD23" s="122">
        <f>客服部最终提成计算表!$X34*0.15*0.8*0.85*'18年合同登记表'!AF24/'18年合同登记表'!$M24</f>
        <v>0</v>
      </c>
      <c r="AE23" s="122">
        <f>客服部最终提成计算表!$X34*0.15*0.8*0.08*'18年合同登记表'!AF24/'18年合同登记表'!$M24</f>
        <v>0</v>
      </c>
      <c r="AF23" s="122">
        <f>客服部最终提成计算表!$X34*0.15*0.8*0.05*'18年合同登记表'!AF24/'18年合同登记表'!$M24</f>
        <v>0</v>
      </c>
      <c r="AG23" s="122">
        <f>客服部最终提成计算表!$X34*0.15*0.8*0.02*'18年合同登记表'!AF24/'18年合同登记表'!$M24</f>
        <v>0</v>
      </c>
      <c r="AH23" s="122">
        <f>客服部最终提成计算表!$X34*0.15*0.8*0.85*'18年合同登记表'!AH24/'18年合同登记表'!$M24</f>
        <v>0</v>
      </c>
      <c r="AI23" s="122">
        <f>客服部最终提成计算表!$X34*0.15*0.8*0.08*'18年合同登记表'!AH24/'18年合同登记表'!$M24</f>
        <v>0</v>
      </c>
      <c r="AJ23" s="122">
        <f>客服部最终提成计算表!$X34*0.15*0.8*0.05*'18年合同登记表'!AH24/'18年合同登记表'!$M24</f>
        <v>0</v>
      </c>
      <c r="AK23" s="122">
        <f>客服部最终提成计算表!$X34*0.15*0.8*0.02*'18年合同登记表'!AH24/'18年合同登记表'!$M24</f>
        <v>0</v>
      </c>
      <c r="AL23" s="122">
        <f>客服部最终提成计算表!$X34*0.15*0.8*0.85*'18年合同登记表'!AJ24/'18年合同登记表'!$M24</f>
        <v>0</v>
      </c>
      <c r="AM23" s="122">
        <f>客服部最终提成计算表!$X34*0.15*0.8*0.08*'18年合同登记表'!AJ24/'18年合同登记表'!$M24</f>
        <v>0</v>
      </c>
      <c r="AN23" s="122">
        <f>客服部最终提成计算表!$X34*0.15*0.8*0.05*'18年合同登记表'!AJ24/'18年合同登记表'!$M24</f>
        <v>0</v>
      </c>
      <c r="AO23" s="122">
        <f>客服部最终提成计算表!$X34*0.15*0.8*0.02*'18年合同登记表'!AJ24/'18年合同登记表'!$M24</f>
        <v>0</v>
      </c>
      <c r="AP23" s="122">
        <f>客服部最终提成计算表!$X34*0.15*0.8*0.85*'18年合同登记表'!AL24/'18年合同登记表'!$M24</f>
        <v>0</v>
      </c>
      <c r="AQ23" s="122">
        <f>客服部最终提成计算表!$X34*0.15*0.8*0.08*'18年合同登记表'!AL24/'18年合同登记表'!$M24</f>
        <v>0</v>
      </c>
      <c r="AR23" s="122">
        <f>客服部最终提成计算表!$X34*0.15*0.8*0.05*'18年合同登记表'!AL24/'18年合同登记表'!$M24</f>
        <v>0</v>
      </c>
      <c r="AS23" s="122">
        <f>客服部最终提成计算表!$X34*0.15*0.8*0.02*'18年合同登记表'!AL24/'18年合同登记表'!$M24</f>
        <v>0</v>
      </c>
      <c r="AT23" s="122">
        <f>客服部最终提成计算表!$X34*0.15*0.8*0.85*'18年合同登记表'!AN24/'18年合同登记表'!$M24</f>
        <v>0</v>
      </c>
      <c r="AU23" s="122">
        <f>客服部最终提成计算表!$X34*0.15*0.8*0.08*'18年合同登记表'!AN24/'18年合同登记表'!$M24</f>
        <v>0</v>
      </c>
      <c r="AV23" s="122">
        <f>客服部最终提成计算表!$X34*0.15*0.8*0.05*'18年合同登记表'!AN24/'18年合同登记表'!$M24</f>
        <v>0</v>
      </c>
      <c r="AW23" s="122">
        <f>客服部最终提成计算表!$X34*0.15*0.8*0.02*'18年合同登记表'!AN24/'18年合同登记表'!$M24</f>
        <v>0</v>
      </c>
      <c r="AX23" s="122">
        <f>客服部最终提成计算表!$X34*0.15*0.8*0.85*'18年合同登记表'!AP24/'18年合同登记表'!$M24</f>
        <v>0</v>
      </c>
      <c r="AY23" s="122">
        <f>客服部最终提成计算表!$X34*0.15*0.8*0.08*'18年合同登记表'!AP24/'18年合同登记表'!$M24</f>
        <v>0</v>
      </c>
      <c r="AZ23" s="122">
        <f>客服部最终提成计算表!$X34*0.15*0.8*0.05*'18年合同登记表'!AP24/'18年合同登记表'!$M24</f>
        <v>0</v>
      </c>
      <c r="BA23" s="131">
        <f>客服部最终提成计算表!$X34*0.15*0.8*0.02*'18年合同登记表'!AP24/'18年合同登记表'!$M24</f>
        <v>0</v>
      </c>
    </row>
    <row r="24" s="104" customFormat="1" ht="14.25" spans="1:53">
      <c r="A24" s="117">
        <v>20</v>
      </c>
      <c r="B24" s="118" t="str">
        <f>'18年合同登记表'!F25</f>
        <v>中科华誉</v>
      </c>
      <c r="C24" s="119" t="str">
        <f>'18年合同登记表'!H25</f>
        <v>NHY-20180106-Q-01-01-044</v>
      </c>
      <c r="D24" s="119" t="str">
        <f>'18年合同登记表'!I25</f>
        <v>更换压缩机（香山28号站12#机组）</v>
      </c>
      <c r="E24" s="120" t="str">
        <f>'18年合同登记表'!L25</f>
        <v>李劲</v>
      </c>
      <c r="F24" s="121">
        <f>客服部最终提成计算表!$X35*0.15*0.8*0.85*'18年合同登记表'!T25/'18年合同登记表'!$M25</f>
        <v>0</v>
      </c>
      <c r="G24" s="122">
        <f>客服部最终提成计算表!$X35*0.15*0.8*0.08*'18年合同登记表'!T25/'18年合同登记表'!$M25</f>
        <v>0</v>
      </c>
      <c r="H24" s="122">
        <f>客服部最终提成计算表!$X35*0.15*0.8*0.05*'18年合同登记表'!T25/'18年合同登记表'!$M25</f>
        <v>0</v>
      </c>
      <c r="I24" s="122">
        <f>客服部最终提成计算表!$X35*0.15*0.8*0.02*'18年合同登记表'!T25/'18年合同登记表'!$M25</f>
        <v>0</v>
      </c>
      <c r="J24" s="122">
        <f>客服部最终提成计算表!$X35*0.15*0.8*0.85*'18年合同登记表'!V25/'18年合同登记表'!$M25</f>
        <v>1836</v>
      </c>
      <c r="K24" s="122">
        <f>客服部最终提成计算表!$X35*0.15*0.8*0.08*'18年合同登记表'!V25/'18年合同登记表'!$M25</f>
        <v>172.8</v>
      </c>
      <c r="L24" s="122">
        <f>客服部最终提成计算表!$X35*0.15*0.8*0.05*'18年合同登记表'!V25/'18年合同登记表'!$M25</f>
        <v>108</v>
      </c>
      <c r="M24" s="122">
        <f>客服部最终提成计算表!$X35*0.15*0.8*0.02*'18年合同登记表'!V25/'18年合同登记表'!$M25</f>
        <v>43.2</v>
      </c>
      <c r="N24" s="122">
        <f>客服部最终提成计算表!$X35*0.15*0.8*0.85*'18年合同登记表'!X25/'18年合同登记表'!$M25</f>
        <v>0</v>
      </c>
      <c r="O24" s="122">
        <f>客服部最终提成计算表!$X35*0.15*0.8*0.08*'18年合同登记表'!X25/'18年合同登记表'!$M25</f>
        <v>0</v>
      </c>
      <c r="P24" s="122">
        <f>客服部最终提成计算表!$X35*0.15*0.8*0.05*'18年合同登记表'!X25/'18年合同登记表'!$M25</f>
        <v>0</v>
      </c>
      <c r="Q24" s="122">
        <f>客服部最终提成计算表!$X35*0.15*0.8*0.02*'18年合同登记表'!X25/'18年合同登记表'!$M25</f>
        <v>0</v>
      </c>
      <c r="R24" s="122">
        <f>客服部最终提成计算表!$X35*0.15*0.8*0.85*'18年合同登记表'!Z25/'18年合同登记表'!$M25</f>
        <v>0</v>
      </c>
      <c r="S24" s="122">
        <f>客服部最终提成计算表!$X35*0.15*0.8*0.08*'18年合同登记表'!Z25/'18年合同登记表'!$M25</f>
        <v>0</v>
      </c>
      <c r="T24" s="122">
        <f>客服部最终提成计算表!$X35*0.15*0.8*0.05*'18年合同登记表'!Z25/'18年合同登记表'!$M25</f>
        <v>0</v>
      </c>
      <c r="U24" s="122">
        <f>客服部最终提成计算表!$X35*0.15*0.8*0.02*'18年合同登记表'!Z25/'18年合同登记表'!$M25</f>
        <v>0</v>
      </c>
      <c r="V24" s="122">
        <f>客服部最终提成计算表!$X35*0.15*0.8*0.85*'18年合同登记表'!AB25/'18年合同登记表'!$M25</f>
        <v>0</v>
      </c>
      <c r="W24" s="122">
        <f>客服部最终提成计算表!$X35*0.15*0.8*0.08*'18年合同登记表'!AB25/'18年合同登记表'!$M25</f>
        <v>0</v>
      </c>
      <c r="X24" s="122">
        <f>客服部最终提成计算表!$X35*0.15*0.8*0.05*'18年合同登记表'!AB25/'18年合同登记表'!$M25</f>
        <v>0</v>
      </c>
      <c r="Y24" s="122">
        <f>客服部最终提成计算表!$X35*0.15*0.8*0.02*'18年合同登记表'!AB25/'18年合同登记表'!$M25</f>
        <v>0</v>
      </c>
      <c r="Z24" s="122">
        <f>客服部最终提成计算表!$X35*0.15*0.8*0.85*'18年合同登记表'!AD25/'18年合同登记表'!$M25</f>
        <v>0</v>
      </c>
      <c r="AA24" s="122">
        <f>客服部最终提成计算表!$X35*0.15*0.8*0.08*'18年合同登记表'!AD25/'18年合同登记表'!$M25</f>
        <v>0</v>
      </c>
      <c r="AB24" s="122">
        <f>客服部最终提成计算表!$X35*0.15*0.8*0.05*'18年合同登记表'!AD25/'18年合同登记表'!$M25</f>
        <v>0</v>
      </c>
      <c r="AC24" s="122">
        <f>客服部最终提成计算表!$X35*0.15*0.8*0.02*'18年合同登记表'!AD25/'18年合同登记表'!$M25</f>
        <v>0</v>
      </c>
      <c r="AD24" s="122">
        <f>客服部最终提成计算表!$X35*0.15*0.8*0.85*'18年合同登记表'!AF25/'18年合同登记表'!$M25</f>
        <v>0</v>
      </c>
      <c r="AE24" s="122">
        <f>客服部最终提成计算表!$X35*0.15*0.8*0.08*'18年合同登记表'!AF25/'18年合同登记表'!$M25</f>
        <v>0</v>
      </c>
      <c r="AF24" s="122">
        <f>客服部最终提成计算表!$X35*0.15*0.8*0.05*'18年合同登记表'!AF25/'18年合同登记表'!$M25</f>
        <v>0</v>
      </c>
      <c r="AG24" s="122">
        <f>客服部最终提成计算表!$X35*0.15*0.8*0.02*'18年合同登记表'!AF25/'18年合同登记表'!$M25</f>
        <v>0</v>
      </c>
      <c r="AH24" s="122">
        <f>客服部最终提成计算表!$X35*0.15*0.8*0.85*'18年合同登记表'!AH25/'18年合同登记表'!$M25</f>
        <v>0</v>
      </c>
      <c r="AI24" s="122">
        <f>客服部最终提成计算表!$X35*0.15*0.8*0.08*'18年合同登记表'!AH25/'18年合同登记表'!$M25</f>
        <v>0</v>
      </c>
      <c r="AJ24" s="122">
        <f>客服部最终提成计算表!$X35*0.15*0.8*0.05*'18年合同登记表'!AH25/'18年合同登记表'!$M25</f>
        <v>0</v>
      </c>
      <c r="AK24" s="122">
        <f>客服部最终提成计算表!$X35*0.15*0.8*0.02*'18年合同登记表'!AH25/'18年合同登记表'!$M25</f>
        <v>0</v>
      </c>
      <c r="AL24" s="122">
        <f>客服部最终提成计算表!$X35*0.15*0.8*0.85*'18年合同登记表'!AJ25/'18年合同登记表'!$M25</f>
        <v>0</v>
      </c>
      <c r="AM24" s="122">
        <f>客服部最终提成计算表!$X35*0.15*0.8*0.08*'18年合同登记表'!AJ25/'18年合同登记表'!$M25</f>
        <v>0</v>
      </c>
      <c r="AN24" s="122">
        <f>客服部最终提成计算表!$X35*0.15*0.8*0.05*'18年合同登记表'!AJ25/'18年合同登记表'!$M25</f>
        <v>0</v>
      </c>
      <c r="AO24" s="122">
        <f>客服部最终提成计算表!$X35*0.15*0.8*0.02*'18年合同登记表'!AJ25/'18年合同登记表'!$M25</f>
        <v>0</v>
      </c>
      <c r="AP24" s="122">
        <f>客服部最终提成计算表!$X35*0.15*0.8*0.85*'18年合同登记表'!AL25/'18年合同登记表'!$M25</f>
        <v>0</v>
      </c>
      <c r="AQ24" s="122">
        <f>客服部最终提成计算表!$X35*0.15*0.8*0.08*'18年合同登记表'!AL25/'18年合同登记表'!$M25</f>
        <v>0</v>
      </c>
      <c r="AR24" s="122">
        <f>客服部最终提成计算表!$X35*0.15*0.8*0.05*'18年合同登记表'!AL25/'18年合同登记表'!$M25</f>
        <v>0</v>
      </c>
      <c r="AS24" s="122">
        <f>客服部最终提成计算表!$X35*0.15*0.8*0.02*'18年合同登记表'!AL25/'18年合同登记表'!$M25</f>
        <v>0</v>
      </c>
      <c r="AT24" s="122">
        <f>客服部最终提成计算表!$X35*0.15*0.8*0.85*'18年合同登记表'!AN25/'18年合同登记表'!$M25</f>
        <v>0</v>
      </c>
      <c r="AU24" s="122">
        <f>客服部最终提成计算表!$X35*0.15*0.8*0.08*'18年合同登记表'!AN25/'18年合同登记表'!$M25</f>
        <v>0</v>
      </c>
      <c r="AV24" s="122">
        <f>客服部最终提成计算表!$X35*0.15*0.8*0.05*'18年合同登记表'!AN25/'18年合同登记表'!$M25</f>
        <v>0</v>
      </c>
      <c r="AW24" s="122">
        <f>客服部最终提成计算表!$X35*0.15*0.8*0.02*'18年合同登记表'!AN25/'18年合同登记表'!$M25</f>
        <v>0</v>
      </c>
      <c r="AX24" s="122">
        <f>客服部最终提成计算表!$X35*0.15*0.8*0.85*'18年合同登记表'!AP25/'18年合同登记表'!$M25</f>
        <v>0</v>
      </c>
      <c r="AY24" s="122">
        <f>客服部最终提成计算表!$X35*0.15*0.8*0.08*'18年合同登记表'!AP25/'18年合同登记表'!$M25</f>
        <v>0</v>
      </c>
      <c r="AZ24" s="122">
        <f>客服部最终提成计算表!$X35*0.15*0.8*0.05*'18年合同登记表'!AP25/'18年合同登记表'!$M25</f>
        <v>0</v>
      </c>
      <c r="BA24" s="131">
        <f>客服部最终提成计算表!$X35*0.15*0.8*0.02*'18年合同登记表'!AP25/'18年合同登记表'!$M25</f>
        <v>0</v>
      </c>
    </row>
    <row r="25" s="104" customFormat="1" ht="14.25" spans="1:53">
      <c r="A25" s="117">
        <v>21</v>
      </c>
      <c r="B25" s="118" t="str">
        <f>'18年合同登记表'!F26</f>
        <v>中科华誉</v>
      </c>
      <c r="C25" s="119" t="str">
        <f>'18年合同登记表'!H26</f>
        <v>NHY-20180125-Q-02-01-044</v>
      </c>
      <c r="D25" s="119" t="str">
        <f>'18年合同登记表'!I26</f>
        <v>更换压缩机（香山14#机组）</v>
      </c>
      <c r="E25" s="120" t="str">
        <f>'18年合同登记表'!L26</f>
        <v>李劲</v>
      </c>
      <c r="F25" s="121">
        <f>客服部最终提成计算表!$X36*0.15*0.8*0.85*'18年合同登记表'!T26/'18年合同登记表'!$M26</f>
        <v>0</v>
      </c>
      <c r="G25" s="122">
        <f>客服部最终提成计算表!$X36*0.15*0.8*0.08*'18年合同登记表'!T26/'18年合同登记表'!$M26</f>
        <v>0</v>
      </c>
      <c r="H25" s="122">
        <f>客服部最终提成计算表!$X36*0.15*0.8*0.05*'18年合同登记表'!T26/'18年合同登记表'!$M26</f>
        <v>0</v>
      </c>
      <c r="I25" s="122">
        <f>客服部最终提成计算表!$X36*0.15*0.8*0.02*'18年合同登记表'!T26/'18年合同登记表'!$M26</f>
        <v>0</v>
      </c>
      <c r="J25" s="122">
        <f>客服部最终提成计算表!$X36*0.15*0.8*0.85*'18年合同登记表'!V26/'18年合同登记表'!$M26</f>
        <v>1224</v>
      </c>
      <c r="K25" s="122">
        <f>客服部最终提成计算表!$X36*0.15*0.8*0.08*'18年合同登记表'!V26/'18年合同登记表'!$M26</f>
        <v>115.2</v>
      </c>
      <c r="L25" s="122">
        <f>客服部最终提成计算表!$X36*0.15*0.8*0.05*'18年合同登记表'!V26/'18年合同登记表'!$M26</f>
        <v>72</v>
      </c>
      <c r="M25" s="122">
        <f>客服部最终提成计算表!$X36*0.15*0.8*0.02*'18年合同登记表'!V26/'18年合同登记表'!$M26</f>
        <v>28.8</v>
      </c>
      <c r="N25" s="122">
        <f>客服部最终提成计算表!$X36*0.15*0.8*0.85*'18年合同登记表'!X26/'18年合同登记表'!$M26</f>
        <v>0</v>
      </c>
      <c r="O25" s="122">
        <f>客服部最终提成计算表!$X36*0.15*0.8*0.08*'18年合同登记表'!X26/'18年合同登记表'!$M26</f>
        <v>0</v>
      </c>
      <c r="P25" s="122">
        <f>客服部最终提成计算表!$X36*0.15*0.8*0.05*'18年合同登记表'!X26/'18年合同登记表'!$M26</f>
        <v>0</v>
      </c>
      <c r="Q25" s="122">
        <f>客服部最终提成计算表!$X36*0.15*0.8*0.02*'18年合同登记表'!X26/'18年合同登记表'!$M26</f>
        <v>0</v>
      </c>
      <c r="R25" s="122">
        <f>客服部最终提成计算表!$X36*0.15*0.8*0.85*'18年合同登记表'!Z26/'18年合同登记表'!$M26</f>
        <v>0</v>
      </c>
      <c r="S25" s="122">
        <f>客服部最终提成计算表!$X36*0.15*0.8*0.08*'18年合同登记表'!Z26/'18年合同登记表'!$M26</f>
        <v>0</v>
      </c>
      <c r="T25" s="122">
        <f>客服部最终提成计算表!$X36*0.15*0.8*0.05*'18年合同登记表'!Z26/'18年合同登记表'!$M26</f>
        <v>0</v>
      </c>
      <c r="U25" s="122">
        <f>客服部最终提成计算表!$X36*0.15*0.8*0.02*'18年合同登记表'!Z26/'18年合同登记表'!$M26</f>
        <v>0</v>
      </c>
      <c r="V25" s="122">
        <f>客服部最终提成计算表!$X36*0.15*0.8*0.85*'18年合同登记表'!AB26/'18年合同登记表'!$M26</f>
        <v>0</v>
      </c>
      <c r="W25" s="122">
        <f>客服部最终提成计算表!$X36*0.15*0.8*0.08*'18年合同登记表'!AB26/'18年合同登记表'!$M26</f>
        <v>0</v>
      </c>
      <c r="X25" s="122">
        <f>客服部最终提成计算表!$X36*0.15*0.8*0.05*'18年合同登记表'!AB26/'18年合同登记表'!$M26</f>
        <v>0</v>
      </c>
      <c r="Y25" s="122">
        <f>客服部最终提成计算表!$X36*0.15*0.8*0.02*'18年合同登记表'!AB26/'18年合同登记表'!$M26</f>
        <v>0</v>
      </c>
      <c r="Z25" s="122">
        <f>客服部最终提成计算表!$X36*0.15*0.8*0.85*'18年合同登记表'!AD26/'18年合同登记表'!$M26</f>
        <v>0</v>
      </c>
      <c r="AA25" s="122">
        <f>客服部最终提成计算表!$X36*0.15*0.8*0.08*'18年合同登记表'!AD26/'18年合同登记表'!$M26</f>
        <v>0</v>
      </c>
      <c r="AB25" s="122">
        <f>客服部最终提成计算表!$X36*0.15*0.8*0.05*'18年合同登记表'!AD26/'18年合同登记表'!$M26</f>
        <v>0</v>
      </c>
      <c r="AC25" s="122">
        <f>客服部最终提成计算表!$X36*0.15*0.8*0.02*'18年合同登记表'!AD26/'18年合同登记表'!$M26</f>
        <v>0</v>
      </c>
      <c r="AD25" s="122">
        <f>客服部最终提成计算表!$X36*0.15*0.8*0.85*'18年合同登记表'!AF26/'18年合同登记表'!$M26</f>
        <v>0</v>
      </c>
      <c r="AE25" s="122">
        <f>客服部最终提成计算表!$X36*0.15*0.8*0.08*'18年合同登记表'!AF26/'18年合同登记表'!$M26</f>
        <v>0</v>
      </c>
      <c r="AF25" s="122">
        <f>客服部最终提成计算表!$X36*0.15*0.8*0.05*'18年合同登记表'!AF26/'18年合同登记表'!$M26</f>
        <v>0</v>
      </c>
      <c r="AG25" s="122">
        <f>客服部最终提成计算表!$X36*0.15*0.8*0.02*'18年合同登记表'!AF26/'18年合同登记表'!$M26</f>
        <v>0</v>
      </c>
      <c r="AH25" s="122">
        <f>客服部最终提成计算表!$X36*0.15*0.8*0.85*'18年合同登记表'!AH26/'18年合同登记表'!$M26</f>
        <v>0</v>
      </c>
      <c r="AI25" s="122">
        <f>客服部最终提成计算表!$X36*0.15*0.8*0.08*'18年合同登记表'!AH26/'18年合同登记表'!$M26</f>
        <v>0</v>
      </c>
      <c r="AJ25" s="122">
        <f>客服部最终提成计算表!$X36*0.15*0.8*0.05*'18年合同登记表'!AH26/'18年合同登记表'!$M26</f>
        <v>0</v>
      </c>
      <c r="AK25" s="122">
        <f>客服部最终提成计算表!$X36*0.15*0.8*0.02*'18年合同登记表'!AH26/'18年合同登记表'!$M26</f>
        <v>0</v>
      </c>
      <c r="AL25" s="122">
        <f>客服部最终提成计算表!$X36*0.15*0.8*0.85*'18年合同登记表'!AJ26/'18年合同登记表'!$M26</f>
        <v>0</v>
      </c>
      <c r="AM25" s="122">
        <f>客服部最终提成计算表!$X36*0.15*0.8*0.08*'18年合同登记表'!AJ26/'18年合同登记表'!$M26</f>
        <v>0</v>
      </c>
      <c r="AN25" s="122">
        <f>客服部最终提成计算表!$X36*0.15*0.8*0.05*'18年合同登记表'!AJ26/'18年合同登记表'!$M26</f>
        <v>0</v>
      </c>
      <c r="AO25" s="122">
        <f>客服部最终提成计算表!$X36*0.15*0.8*0.02*'18年合同登记表'!AJ26/'18年合同登记表'!$M26</f>
        <v>0</v>
      </c>
      <c r="AP25" s="122">
        <f>客服部最终提成计算表!$X36*0.15*0.8*0.85*'18年合同登记表'!AL26/'18年合同登记表'!$M26</f>
        <v>0</v>
      </c>
      <c r="AQ25" s="122">
        <f>客服部最终提成计算表!$X36*0.15*0.8*0.08*'18年合同登记表'!AL26/'18年合同登记表'!$M26</f>
        <v>0</v>
      </c>
      <c r="AR25" s="122">
        <f>客服部最终提成计算表!$X36*0.15*0.8*0.05*'18年合同登记表'!AL26/'18年合同登记表'!$M26</f>
        <v>0</v>
      </c>
      <c r="AS25" s="122">
        <f>客服部最终提成计算表!$X36*0.15*0.8*0.02*'18年合同登记表'!AL26/'18年合同登记表'!$M26</f>
        <v>0</v>
      </c>
      <c r="AT25" s="122">
        <f>客服部最终提成计算表!$X36*0.15*0.8*0.85*'18年合同登记表'!AN26/'18年合同登记表'!$M26</f>
        <v>0</v>
      </c>
      <c r="AU25" s="122">
        <f>客服部最终提成计算表!$X36*0.15*0.8*0.08*'18年合同登记表'!AN26/'18年合同登记表'!$M26</f>
        <v>0</v>
      </c>
      <c r="AV25" s="122">
        <f>客服部最终提成计算表!$X36*0.15*0.8*0.05*'18年合同登记表'!AN26/'18年合同登记表'!$M26</f>
        <v>0</v>
      </c>
      <c r="AW25" s="122">
        <f>客服部最终提成计算表!$X36*0.15*0.8*0.02*'18年合同登记表'!AN26/'18年合同登记表'!$M26</f>
        <v>0</v>
      </c>
      <c r="AX25" s="122">
        <f>客服部最终提成计算表!$X36*0.15*0.8*0.85*'18年合同登记表'!AP26/'18年合同登记表'!$M26</f>
        <v>0</v>
      </c>
      <c r="AY25" s="122">
        <f>客服部最终提成计算表!$X36*0.15*0.8*0.08*'18年合同登记表'!AP26/'18年合同登记表'!$M26</f>
        <v>0</v>
      </c>
      <c r="AZ25" s="122">
        <f>客服部最终提成计算表!$X36*0.15*0.8*0.05*'18年合同登记表'!AP26/'18年合同登记表'!$M26</f>
        <v>0</v>
      </c>
      <c r="BA25" s="131">
        <f>客服部最终提成计算表!$X36*0.15*0.8*0.02*'18年合同登记表'!AP26/'18年合同登记表'!$M26</f>
        <v>0</v>
      </c>
    </row>
    <row r="26" s="104" customFormat="1" ht="14.25" spans="1:53">
      <c r="A26" s="117">
        <v>22</v>
      </c>
      <c r="B26" s="118" t="str">
        <f>'18年合同登记表'!F27</f>
        <v>中科华誉</v>
      </c>
      <c r="C26" s="119" t="str">
        <f>'18年合同登记表'!H27</f>
        <v>NHY-20180108-Q-03-01-044</v>
      </c>
      <c r="D26" s="119" t="str">
        <f>'18年合同登记表'!I27</f>
        <v>翅片维修（颐和园21号站4号机组）</v>
      </c>
      <c r="E26" s="120" t="str">
        <f>'18年合同登记表'!L27</f>
        <v>李劲</v>
      </c>
      <c r="F26" s="121">
        <f>客服部最终提成计算表!$X37*0.15*0.8*0.85*'18年合同登记表'!T27/'18年合同登记表'!$M27</f>
        <v>0</v>
      </c>
      <c r="G26" s="122">
        <f>客服部最终提成计算表!$X37*0.15*0.8*0.08*'18年合同登记表'!T27/'18年合同登记表'!$M27</f>
        <v>0</v>
      </c>
      <c r="H26" s="122">
        <f>客服部最终提成计算表!$X37*0.15*0.8*0.05*'18年合同登记表'!T27/'18年合同登记表'!$M27</f>
        <v>0</v>
      </c>
      <c r="I26" s="122">
        <f>客服部最终提成计算表!$X37*0.15*0.8*0.02*'18年合同登记表'!T27/'18年合同登记表'!$M27</f>
        <v>0</v>
      </c>
      <c r="J26" s="122">
        <f>客服部最终提成计算表!$X37*0.15*0.8*0.85*'18年合同登记表'!V27/'18年合同登记表'!$M27</f>
        <v>74895.03</v>
      </c>
      <c r="K26" s="122">
        <f>客服部最终提成计算表!$X37*0.15*0.8*0.08*'18年合同登记表'!V27/'18年合同登记表'!$M27</f>
        <v>7048.944</v>
      </c>
      <c r="L26" s="122">
        <f>客服部最终提成计算表!$X37*0.15*0.8*0.05*'18年合同登记表'!V27/'18年合同登记表'!$M27</f>
        <v>4405.59</v>
      </c>
      <c r="M26" s="122">
        <f>客服部最终提成计算表!$X37*0.15*0.8*0.02*'18年合同登记表'!V27/'18年合同登记表'!$M27</f>
        <v>1762.236</v>
      </c>
      <c r="N26" s="122">
        <f>客服部最终提成计算表!$X37*0.15*0.8*0.85*'18年合同登记表'!X27/'18年合同登记表'!$M27</f>
        <v>0</v>
      </c>
      <c r="O26" s="122">
        <f>客服部最终提成计算表!$X37*0.15*0.8*0.08*'18年合同登记表'!X27/'18年合同登记表'!$M27</f>
        <v>0</v>
      </c>
      <c r="P26" s="122">
        <f>客服部最终提成计算表!$X37*0.15*0.8*0.05*'18年合同登记表'!X27/'18年合同登记表'!$M27</f>
        <v>0</v>
      </c>
      <c r="Q26" s="122">
        <f>客服部最终提成计算表!$X37*0.15*0.8*0.02*'18年合同登记表'!X27/'18年合同登记表'!$M27</f>
        <v>0</v>
      </c>
      <c r="R26" s="122">
        <f>客服部最终提成计算表!$X37*0.15*0.8*0.85*'18年合同登记表'!Z27/'18年合同登记表'!$M27</f>
        <v>0</v>
      </c>
      <c r="S26" s="122">
        <f>客服部最终提成计算表!$X37*0.15*0.8*0.08*'18年合同登记表'!Z27/'18年合同登记表'!$M27</f>
        <v>0</v>
      </c>
      <c r="T26" s="122">
        <f>客服部最终提成计算表!$X37*0.15*0.8*0.05*'18年合同登记表'!Z27/'18年合同登记表'!$M27</f>
        <v>0</v>
      </c>
      <c r="U26" s="122">
        <f>客服部最终提成计算表!$X37*0.15*0.8*0.02*'18年合同登记表'!Z27/'18年合同登记表'!$M27</f>
        <v>0</v>
      </c>
      <c r="V26" s="122">
        <f>客服部最终提成计算表!$X37*0.15*0.8*0.85*'18年合同登记表'!AB27/'18年合同登记表'!$M27</f>
        <v>0</v>
      </c>
      <c r="W26" s="122">
        <f>客服部最终提成计算表!$X37*0.15*0.8*0.08*'18年合同登记表'!AB27/'18年合同登记表'!$M27</f>
        <v>0</v>
      </c>
      <c r="X26" s="122">
        <f>客服部最终提成计算表!$X37*0.15*0.8*0.05*'18年合同登记表'!AB27/'18年合同登记表'!$M27</f>
        <v>0</v>
      </c>
      <c r="Y26" s="122">
        <f>客服部最终提成计算表!$X37*0.15*0.8*0.02*'18年合同登记表'!AB27/'18年合同登记表'!$M27</f>
        <v>0</v>
      </c>
      <c r="Z26" s="122">
        <f>客服部最终提成计算表!$X37*0.15*0.8*0.85*'18年合同登记表'!AD27/'18年合同登记表'!$M27</f>
        <v>0</v>
      </c>
      <c r="AA26" s="122">
        <f>客服部最终提成计算表!$X37*0.15*0.8*0.08*'18年合同登记表'!AD27/'18年合同登记表'!$M27</f>
        <v>0</v>
      </c>
      <c r="AB26" s="122">
        <f>客服部最终提成计算表!$X37*0.15*0.8*0.05*'18年合同登记表'!AD27/'18年合同登记表'!$M27</f>
        <v>0</v>
      </c>
      <c r="AC26" s="122">
        <f>客服部最终提成计算表!$X37*0.15*0.8*0.02*'18年合同登记表'!AD27/'18年合同登记表'!$M27</f>
        <v>0</v>
      </c>
      <c r="AD26" s="122">
        <f>客服部最终提成计算表!$X37*0.15*0.8*0.85*'18年合同登记表'!AF27/'18年合同登记表'!$M27</f>
        <v>0</v>
      </c>
      <c r="AE26" s="122">
        <f>客服部最终提成计算表!$X37*0.15*0.8*0.08*'18年合同登记表'!AF27/'18年合同登记表'!$M27</f>
        <v>0</v>
      </c>
      <c r="AF26" s="122">
        <f>客服部最终提成计算表!$X37*0.15*0.8*0.05*'18年合同登记表'!AF27/'18年合同登记表'!$M27</f>
        <v>0</v>
      </c>
      <c r="AG26" s="122">
        <f>客服部最终提成计算表!$X37*0.15*0.8*0.02*'18年合同登记表'!AF27/'18年合同登记表'!$M27</f>
        <v>0</v>
      </c>
      <c r="AH26" s="122">
        <f>客服部最终提成计算表!$X37*0.15*0.8*0.85*'18年合同登记表'!AH27/'18年合同登记表'!$M27</f>
        <v>0</v>
      </c>
      <c r="AI26" s="122">
        <f>客服部最终提成计算表!$X37*0.15*0.8*0.08*'18年合同登记表'!AH27/'18年合同登记表'!$M27</f>
        <v>0</v>
      </c>
      <c r="AJ26" s="122">
        <f>客服部最终提成计算表!$X37*0.15*0.8*0.05*'18年合同登记表'!AH27/'18年合同登记表'!$M27</f>
        <v>0</v>
      </c>
      <c r="AK26" s="122">
        <f>客服部最终提成计算表!$X37*0.15*0.8*0.02*'18年合同登记表'!AH27/'18年合同登记表'!$M27</f>
        <v>0</v>
      </c>
      <c r="AL26" s="122">
        <f>客服部最终提成计算表!$X37*0.15*0.8*0.85*'18年合同登记表'!AJ27/'18年合同登记表'!$M27</f>
        <v>0</v>
      </c>
      <c r="AM26" s="122">
        <f>客服部最终提成计算表!$X37*0.15*0.8*0.08*'18年合同登记表'!AJ27/'18年合同登记表'!$M27</f>
        <v>0</v>
      </c>
      <c r="AN26" s="122">
        <f>客服部最终提成计算表!$X37*0.15*0.8*0.05*'18年合同登记表'!AJ27/'18年合同登记表'!$M27</f>
        <v>0</v>
      </c>
      <c r="AO26" s="122">
        <f>客服部最终提成计算表!$X37*0.15*0.8*0.02*'18年合同登记表'!AJ27/'18年合同登记表'!$M27</f>
        <v>0</v>
      </c>
      <c r="AP26" s="122">
        <f>客服部最终提成计算表!$X37*0.15*0.8*0.85*'18年合同登记表'!AL27/'18年合同登记表'!$M27</f>
        <v>0</v>
      </c>
      <c r="AQ26" s="122">
        <f>客服部最终提成计算表!$X37*0.15*0.8*0.08*'18年合同登记表'!AL27/'18年合同登记表'!$M27</f>
        <v>0</v>
      </c>
      <c r="AR26" s="122">
        <f>客服部最终提成计算表!$X37*0.15*0.8*0.05*'18年合同登记表'!AL27/'18年合同登记表'!$M27</f>
        <v>0</v>
      </c>
      <c r="AS26" s="122">
        <f>客服部最终提成计算表!$X37*0.15*0.8*0.02*'18年合同登记表'!AL27/'18年合同登记表'!$M27</f>
        <v>0</v>
      </c>
      <c r="AT26" s="122">
        <f>客服部最终提成计算表!$X37*0.15*0.8*0.85*'18年合同登记表'!AN27/'18年合同登记表'!$M27</f>
        <v>0</v>
      </c>
      <c r="AU26" s="122">
        <f>客服部最终提成计算表!$X37*0.15*0.8*0.08*'18年合同登记表'!AN27/'18年合同登记表'!$M27</f>
        <v>0</v>
      </c>
      <c r="AV26" s="122">
        <f>客服部最终提成计算表!$X37*0.15*0.8*0.05*'18年合同登记表'!AN27/'18年合同登记表'!$M27</f>
        <v>0</v>
      </c>
      <c r="AW26" s="122">
        <f>客服部最终提成计算表!$X37*0.15*0.8*0.02*'18年合同登记表'!AN27/'18年合同登记表'!$M27</f>
        <v>0</v>
      </c>
      <c r="AX26" s="122">
        <f>客服部最终提成计算表!$X37*0.15*0.8*0.85*'18年合同登记表'!AP27/'18年合同登记表'!$M27</f>
        <v>0</v>
      </c>
      <c r="AY26" s="122">
        <f>客服部最终提成计算表!$X37*0.15*0.8*0.08*'18年合同登记表'!AP27/'18年合同登记表'!$M27</f>
        <v>0</v>
      </c>
      <c r="AZ26" s="122">
        <f>客服部最终提成计算表!$X37*0.15*0.8*0.05*'18年合同登记表'!AP27/'18年合同登记表'!$M27</f>
        <v>0</v>
      </c>
      <c r="BA26" s="131">
        <f>客服部最终提成计算表!$X37*0.15*0.8*0.02*'18年合同登记表'!AP27/'18年合同登记表'!$M27</f>
        <v>0</v>
      </c>
    </row>
    <row r="27" s="104" customFormat="1" ht="14.25" spans="1:53">
      <c r="A27" s="117">
        <v>23</v>
      </c>
      <c r="B27" s="118" t="str">
        <f>'18年合同登记表'!F28</f>
        <v>中科华誉</v>
      </c>
      <c r="C27" s="119" t="str">
        <f>'18年合同登记表'!H28</f>
        <v>NHY-20180108-Q-01-01-044</v>
      </c>
      <c r="D27" s="119" t="str">
        <f>'18年合同登记表'!I28</f>
        <v>站点维修（24台机组汇总）</v>
      </c>
      <c r="E27" s="120" t="str">
        <f>'18年合同登记表'!L28</f>
        <v>李劲</v>
      </c>
      <c r="F27" s="121" t="e">
        <f>客服部最终提成计算表!$X38*0.15*0.8*0.85*'18年合同登记表'!T28/'18年合同登记表'!$M28</f>
        <v>#REF!</v>
      </c>
      <c r="G27" s="122" t="e">
        <f>客服部最终提成计算表!$X38*0.15*0.8*0.08*'18年合同登记表'!T28/'18年合同登记表'!$M28</f>
        <v>#REF!</v>
      </c>
      <c r="H27" s="122" t="e">
        <f>客服部最终提成计算表!$X38*0.15*0.8*0.05*'18年合同登记表'!T28/'18年合同登记表'!$M28</f>
        <v>#REF!</v>
      </c>
      <c r="I27" s="122" t="e">
        <f>客服部最终提成计算表!$X38*0.15*0.8*0.02*'18年合同登记表'!T28/'18年合同登记表'!$M28</f>
        <v>#REF!</v>
      </c>
      <c r="J27" s="122" t="e">
        <f>客服部最终提成计算表!$X38*0.15*0.8*0.85*'18年合同登记表'!V28/'18年合同登记表'!$M28</f>
        <v>#REF!</v>
      </c>
      <c r="K27" s="122" t="e">
        <f>客服部最终提成计算表!$X38*0.15*0.8*0.08*'18年合同登记表'!V28/'18年合同登记表'!$M28</f>
        <v>#REF!</v>
      </c>
      <c r="L27" s="122" t="e">
        <f>客服部最终提成计算表!$X38*0.15*0.8*0.05*'18年合同登记表'!V28/'18年合同登记表'!$M28</f>
        <v>#REF!</v>
      </c>
      <c r="M27" s="122" t="e">
        <f>客服部最终提成计算表!$X38*0.15*0.8*0.02*'18年合同登记表'!V28/'18年合同登记表'!$M28</f>
        <v>#REF!</v>
      </c>
      <c r="N27" s="122" t="e">
        <f>客服部最终提成计算表!$X38*0.15*0.8*0.85*'18年合同登记表'!X28/'18年合同登记表'!$M28</f>
        <v>#REF!</v>
      </c>
      <c r="O27" s="122" t="e">
        <f>客服部最终提成计算表!$X38*0.15*0.8*0.08*'18年合同登记表'!X28/'18年合同登记表'!$M28</f>
        <v>#REF!</v>
      </c>
      <c r="P27" s="122" t="e">
        <f>客服部最终提成计算表!$X38*0.15*0.8*0.05*'18年合同登记表'!X28/'18年合同登记表'!$M28</f>
        <v>#REF!</v>
      </c>
      <c r="Q27" s="122" t="e">
        <f>客服部最终提成计算表!$X38*0.15*0.8*0.02*'18年合同登记表'!X28/'18年合同登记表'!$M28</f>
        <v>#REF!</v>
      </c>
      <c r="R27" s="122" t="e">
        <f>客服部最终提成计算表!$X38*0.15*0.8*0.85*'18年合同登记表'!Z28/'18年合同登记表'!$M28</f>
        <v>#REF!</v>
      </c>
      <c r="S27" s="122" t="e">
        <f>客服部最终提成计算表!$X38*0.15*0.8*0.08*'18年合同登记表'!Z28/'18年合同登记表'!$M28</f>
        <v>#REF!</v>
      </c>
      <c r="T27" s="122" t="e">
        <f>客服部最终提成计算表!$X38*0.15*0.8*0.05*'18年合同登记表'!Z28/'18年合同登记表'!$M28</f>
        <v>#REF!</v>
      </c>
      <c r="U27" s="122" t="e">
        <f>客服部最终提成计算表!$X38*0.15*0.8*0.02*'18年合同登记表'!Z28/'18年合同登记表'!$M28</f>
        <v>#REF!</v>
      </c>
      <c r="V27" s="122" t="e">
        <f>客服部最终提成计算表!$X38*0.15*0.8*0.85*'18年合同登记表'!AB28/'18年合同登记表'!$M28</f>
        <v>#REF!</v>
      </c>
      <c r="W27" s="122" t="e">
        <f>客服部最终提成计算表!$X38*0.15*0.8*0.08*'18年合同登记表'!AB28/'18年合同登记表'!$M28</f>
        <v>#REF!</v>
      </c>
      <c r="X27" s="122" t="e">
        <f>客服部最终提成计算表!$X38*0.15*0.8*0.05*'18年合同登记表'!AB28/'18年合同登记表'!$M28</f>
        <v>#REF!</v>
      </c>
      <c r="Y27" s="122" t="e">
        <f>客服部最终提成计算表!$X38*0.15*0.8*0.02*'18年合同登记表'!AB28/'18年合同登记表'!$M28</f>
        <v>#REF!</v>
      </c>
      <c r="Z27" s="122" t="e">
        <f>客服部最终提成计算表!$X38*0.15*0.8*0.85*'18年合同登记表'!AD28/'18年合同登记表'!$M28</f>
        <v>#REF!</v>
      </c>
      <c r="AA27" s="122" t="e">
        <f>客服部最终提成计算表!$X38*0.15*0.8*0.08*'18年合同登记表'!AD28/'18年合同登记表'!$M28</f>
        <v>#REF!</v>
      </c>
      <c r="AB27" s="122" t="e">
        <f>客服部最终提成计算表!$X38*0.15*0.8*0.05*'18年合同登记表'!AD28/'18年合同登记表'!$M28</f>
        <v>#REF!</v>
      </c>
      <c r="AC27" s="122" t="e">
        <f>客服部最终提成计算表!$X38*0.15*0.8*0.02*'18年合同登记表'!AD28/'18年合同登记表'!$M28</f>
        <v>#REF!</v>
      </c>
      <c r="AD27" s="122" t="e">
        <f>客服部最终提成计算表!$X38*0.15*0.8*0.85*'18年合同登记表'!AF28/'18年合同登记表'!$M28</f>
        <v>#REF!</v>
      </c>
      <c r="AE27" s="122" t="e">
        <f>客服部最终提成计算表!$X38*0.15*0.8*0.08*'18年合同登记表'!AF28/'18年合同登记表'!$M28</f>
        <v>#REF!</v>
      </c>
      <c r="AF27" s="122" t="e">
        <f>客服部最终提成计算表!$X38*0.15*0.8*0.05*'18年合同登记表'!AF28/'18年合同登记表'!$M28</f>
        <v>#REF!</v>
      </c>
      <c r="AG27" s="122" t="e">
        <f>客服部最终提成计算表!$X38*0.15*0.8*0.02*'18年合同登记表'!AF28/'18年合同登记表'!$M28</f>
        <v>#REF!</v>
      </c>
      <c r="AH27" s="122" t="e">
        <f>客服部最终提成计算表!$X38*0.15*0.8*0.85*'18年合同登记表'!AH28/'18年合同登记表'!$M28</f>
        <v>#REF!</v>
      </c>
      <c r="AI27" s="122" t="e">
        <f>客服部最终提成计算表!$X38*0.15*0.8*0.08*'18年合同登记表'!AH28/'18年合同登记表'!$M28</f>
        <v>#REF!</v>
      </c>
      <c r="AJ27" s="122" t="e">
        <f>客服部最终提成计算表!$X38*0.15*0.8*0.05*'18年合同登记表'!AH28/'18年合同登记表'!$M28</f>
        <v>#REF!</v>
      </c>
      <c r="AK27" s="122" t="e">
        <f>客服部最终提成计算表!$X38*0.15*0.8*0.02*'18年合同登记表'!AH28/'18年合同登记表'!$M28</f>
        <v>#REF!</v>
      </c>
      <c r="AL27" s="122" t="e">
        <f>客服部最终提成计算表!$X38*0.15*0.8*0.85*'18年合同登记表'!AJ28/'18年合同登记表'!$M28</f>
        <v>#REF!</v>
      </c>
      <c r="AM27" s="122" t="e">
        <f>客服部最终提成计算表!$X38*0.15*0.8*0.08*'18年合同登记表'!AJ28/'18年合同登记表'!$M28</f>
        <v>#REF!</v>
      </c>
      <c r="AN27" s="122" t="e">
        <f>客服部最终提成计算表!$X38*0.15*0.8*0.05*'18年合同登记表'!AJ28/'18年合同登记表'!$M28</f>
        <v>#REF!</v>
      </c>
      <c r="AO27" s="122" t="e">
        <f>客服部最终提成计算表!$X38*0.15*0.8*0.02*'18年合同登记表'!AJ28/'18年合同登记表'!$M28</f>
        <v>#REF!</v>
      </c>
      <c r="AP27" s="122" t="e">
        <f>客服部最终提成计算表!$X38*0.15*0.8*0.85*'18年合同登记表'!AL28/'18年合同登记表'!$M28</f>
        <v>#REF!</v>
      </c>
      <c r="AQ27" s="122" t="e">
        <f>客服部最终提成计算表!$X38*0.15*0.8*0.08*'18年合同登记表'!AL28/'18年合同登记表'!$M28</f>
        <v>#REF!</v>
      </c>
      <c r="AR27" s="122" t="e">
        <f>客服部最终提成计算表!$X38*0.15*0.8*0.05*'18年合同登记表'!AL28/'18年合同登记表'!$M28</f>
        <v>#REF!</v>
      </c>
      <c r="AS27" s="122" t="e">
        <f>客服部最终提成计算表!$X38*0.15*0.8*0.02*'18年合同登记表'!AL28/'18年合同登记表'!$M28</f>
        <v>#REF!</v>
      </c>
      <c r="AT27" s="122" t="e">
        <f>客服部最终提成计算表!$X38*0.15*0.8*0.85*'18年合同登记表'!AN28/'18年合同登记表'!$M28</f>
        <v>#REF!</v>
      </c>
      <c r="AU27" s="122" t="e">
        <f>客服部最终提成计算表!$X38*0.15*0.8*0.08*'18年合同登记表'!AN28/'18年合同登记表'!$M28</f>
        <v>#REF!</v>
      </c>
      <c r="AV27" s="122" t="e">
        <f>客服部最终提成计算表!$X38*0.15*0.8*0.05*'18年合同登记表'!AN28/'18年合同登记表'!$M28</f>
        <v>#REF!</v>
      </c>
      <c r="AW27" s="122" t="e">
        <f>客服部最终提成计算表!$X38*0.15*0.8*0.02*'18年合同登记表'!AN28/'18年合同登记表'!$M28</f>
        <v>#REF!</v>
      </c>
      <c r="AX27" s="122" t="e">
        <f>客服部最终提成计算表!$X38*0.15*0.8*0.85*'18年合同登记表'!AP28/'18年合同登记表'!$M28</f>
        <v>#REF!</v>
      </c>
      <c r="AY27" s="122" t="e">
        <f>客服部最终提成计算表!$X38*0.15*0.8*0.08*'18年合同登记表'!AP28/'18年合同登记表'!$M28</f>
        <v>#REF!</v>
      </c>
      <c r="AZ27" s="122" t="e">
        <f>客服部最终提成计算表!$X38*0.15*0.8*0.05*'18年合同登记表'!AP28/'18年合同登记表'!$M28</f>
        <v>#REF!</v>
      </c>
      <c r="BA27" s="131" t="e">
        <f>客服部最终提成计算表!$X38*0.15*0.8*0.02*'18年合同登记表'!AP28/'18年合同登记表'!$M28</f>
        <v>#REF!</v>
      </c>
    </row>
    <row r="28" s="104" customFormat="1" ht="14.25" spans="1:53">
      <c r="A28" s="117">
        <v>24</v>
      </c>
      <c r="B28" s="118" t="e">
        <f>'18年合同登记表'!#REF!</f>
        <v>#REF!</v>
      </c>
      <c r="C28" s="119" t="e">
        <f>'18年合同登记表'!#REF!</f>
        <v>#REF!</v>
      </c>
      <c r="D28" s="119" t="e">
        <f>'18年合同登记表'!#REF!</f>
        <v>#REF!</v>
      </c>
      <c r="E28" s="120" t="e">
        <f>'18年合同登记表'!#REF!</f>
        <v>#REF!</v>
      </c>
      <c r="F28" s="121" t="e">
        <f>客服部最终提成计算表!$X39*0.15*0.8*0.85*'18年合同登记表'!#REF!/'18年合同登记表'!#REF!</f>
        <v>#REF!</v>
      </c>
      <c r="G28" s="122" t="e">
        <f>客服部最终提成计算表!$X39*0.15*0.8*0.08*'18年合同登记表'!#REF!/'18年合同登记表'!#REF!</f>
        <v>#REF!</v>
      </c>
      <c r="H28" s="122" t="e">
        <f>客服部最终提成计算表!$X39*0.15*0.8*0.05*'18年合同登记表'!#REF!/'18年合同登记表'!#REF!</f>
        <v>#REF!</v>
      </c>
      <c r="I28" s="122" t="e">
        <f>客服部最终提成计算表!$X39*0.15*0.8*0.02*'18年合同登记表'!#REF!/'18年合同登记表'!#REF!</f>
        <v>#REF!</v>
      </c>
      <c r="J28" s="122" t="e">
        <f>客服部最终提成计算表!$X39*0.15*0.8*0.85*'18年合同登记表'!#REF!/'18年合同登记表'!#REF!</f>
        <v>#REF!</v>
      </c>
      <c r="K28" s="122" t="e">
        <f>客服部最终提成计算表!$X39*0.15*0.8*0.08*'18年合同登记表'!#REF!/'18年合同登记表'!#REF!</f>
        <v>#REF!</v>
      </c>
      <c r="L28" s="122" t="e">
        <f>客服部最终提成计算表!$X39*0.15*0.8*0.05*'18年合同登记表'!#REF!/'18年合同登记表'!#REF!</f>
        <v>#REF!</v>
      </c>
      <c r="M28" s="122" t="e">
        <f>客服部最终提成计算表!$X39*0.15*0.8*0.02*'18年合同登记表'!#REF!/'18年合同登记表'!#REF!</f>
        <v>#REF!</v>
      </c>
      <c r="N28" s="122" t="e">
        <f>客服部最终提成计算表!$X39*0.15*0.8*0.85*'18年合同登记表'!#REF!/'18年合同登记表'!#REF!</f>
        <v>#REF!</v>
      </c>
      <c r="O28" s="122" t="e">
        <f>客服部最终提成计算表!$X39*0.15*0.8*0.08*'18年合同登记表'!#REF!/'18年合同登记表'!#REF!</f>
        <v>#REF!</v>
      </c>
      <c r="P28" s="122" t="e">
        <f>客服部最终提成计算表!$X39*0.15*0.8*0.05*'18年合同登记表'!#REF!/'18年合同登记表'!#REF!</f>
        <v>#REF!</v>
      </c>
      <c r="Q28" s="122" t="e">
        <f>客服部最终提成计算表!$X39*0.15*0.8*0.02*'18年合同登记表'!#REF!/'18年合同登记表'!#REF!</f>
        <v>#REF!</v>
      </c>
      <c r="R28" s="122" t="e">
        <f>客服部最终提成计算表!$X39*0.15*0.8*0.85*'18年合同登记表'!#REF!/'18年合同登记表'!#REF!</f>
        <v>#REF!</v>
      </c>
      <c r="S28" s="122" t="e">
        <f>客服部最终提成计算表!$X39*0.15*0.8*0.08*'18年合同登记表'!#REF!/'18年合同登记表'!#REF!</f>
        <v>#REF!</v>
      </c>
      <c r="T28" s="122" t="e">
        <f>客服部最终提成计算表!$X39*0.15*0.8*0.05*'18年合同登记表'!#REF!/'18年合同登记表'!#REF!</f>
        <v>#REF!</v>
      </c>
      <c r="U28" s="122" t="e">
        <f>客服部最终提成计算表!$X39*0.15*0.8*0.02*'18年合同登记表'!#REF!/'18年合同登记表'!#REF!</f>
        <v>#REF!</v>
      </c>
      <c r="V28" s="122" t="e">
        <f>客服部最终提成计算表!$X39*0.15*0.8*0.85*'18年合同登记表'!#REF!/'18年合同登记表'!#REF!</f>
        <v>#REF!</v>
      </c>
      <c r="W28" s="122" t="e">
        <f>客服部最终提成计算表!$X39*0.15*0.8*0.08*'18年合同登记表'!#REF!/'18年合同登记表'!#REF!</f>
        <v>#REF!</v>
      </c>
      <c r="X28" s="122" t="e">
        <f>客服部最终提成计算表!$X39*0.15*0.8*0.05*'18年合同登记表'!#REF!/'18年合同登记表'!#REF!</f>
        <v>#REF!</v>
      </c>
      <c r="Y28" s="122" t="e">
        <f>客服部最终提成计算表!$X39*0.15*0.8*0.02*'18年合同登记表'!#REF!/'18年合同登记表'!#REF!</f>
        <v>#REF!</v>
      </c>
      <c r="Z28" s="122" t="e">
        <f>客服部最终提成计算表!$X39*0.15*0.8*0.85*'18年合同登记表'!#REF!/'18年合同登记表'!#REF!</f>
        <v>#REF!</v>
      </c>
      <c r="AA28" s="122" t="e">
        <f>客服部最终提成计算表!$X39*0.15*0.8*0.08*'18年合同登记表'!#REF!/'18年合同登记表'!#REF!</f>
        <v>#REF!</v>
      </c>
      <c r="AB28" s="122" t="e">
        <f>客服部最终提成计算表!$X39*0.15*0.8*0.05*'18年合同登记表'!#REF!/'18年合同登记表'!#REF!</f>
        <v>#REF!</v>
      </c>
      <c r="AC28" s="122" t="e">
        <f>客服部最终提成计算表!$X39*0.15*0.8*0.02*'18年合同登记表'!#REF!/'18年合同登记表'!#REF!</f>
        <v>#REF!</v>
      </c>
      <c r="AD28" s="122" t="e">
        <f>客服部最终提成计算表!$X39*0.15*0.8*0.85*'18年合同登记表'!#REF!/'18年合同登记表'!#REF!</f>
        <v>#REF!</v>
      </c>
      <c r="AE28" s="122" t="e">
        <f>客服部最终提成计算表!$X39*0.15*0.8*0.08*'18年合同登记表'!#REF!/'18年合同登记表'!#REF!</f>
        <v>#REF!</v>
      </c>
      <c r="AF28" s="122" t="e">
        <f>客服部最终提成计算表!$X39*0.15*0.8*0.05*'18年合同登记表'!#REF!/'18年合同登记表'!#REF!</f>
        <v>#REF!</v>
      </c>
      <c r="AG28" s="122" t="e">
        <f>客服部最终提成计算表!$X39*0.15*0.8*0.02*'18年合同登记表'!#REF!/'18年合同登记表'!#REF!</f>
        <v>#REF!</v>
      </c>
      <c r="AH28" s="122" t="e">
        <f>客服部最终提成计算表!$X39*0.15*0.8*0.85*'18年合同登记表'!#REF!/'18年合同登记表'!#REF!</f>
        <v>#REF!</v>
      </c>
      <c r="AI28" s="122" t="e">
        <f>客服部最终提成计算表!$X39*0.15*0.8*0.08*'18年合同登记表'!#REF!/'18年合同登记表'!#REF!</f>
        <v>#REF!</v>
      </c>
      <c r="AJ28" s="122" t="e">
        <f>客服部最终提成计算表!$X39*0.15*0.8*0.05*'18年合同登记表'!#REF!/'18年合同登记表'!#REF!</f>
        <v>#REF!</v>
      </c>
      <c r="AK28" s="122" t="e">
        <f>客服部最终提成计算表!$X39*0.15*0.8*0.02*'18年合同登记表'!#REF!/'18年合同登记表'!#REF!</f>
        <v>#REF!</v>
      </c>
      <c r="AL28" s="122" t="e">
        <f>客服部最终提成计算表!$X39*0.15*0.8*0.85*'18年合同登记表'!#REF!/'18年合同登记表'!#REF!</f>
        <v>#REF!</v>
      </c>
      <c r="AM28" s="122" t="e">
        <f>客服部最终提成计算表!$X39*0.15*0.8*0.08*'18年合同登记表'!#REF!/'18年合同登记表'!#REF!</f>
        <v>#REF!</v>
      </c>
      <c r="AN28" s="122" t="e">
        <f>客服部最终提成计算表!$X39*0.15*0.8*0.05*'18年合同登记表'!#REF!/'18年合同登记表'!#REF!</f>
        <v>#REF!</v>
      </c>
      <c r="AO28" s="122" t="e">
        <f>客服部最终提成计算表!$X39*0.15*0.8*0.02*'18年合同登记表'!#REF!/'18年合同登记表'!#REF!</f>
        <v>#REF!</v>
      </c>
      <c r="AP28" s="122" t="e">
        <f>客服部最终提成计算表!$X39*0.15*0.8*0.85*'18年合同登记表'!#REF!/'18年合同登记表'!#REF!</f>
        <v>#REF!</v>
      </c>
      <c r="AQ28" s="122" t="e">
        <f>客服部最终提成计算表!$X39*0.15*0.8*0.08*'18年合同登记表'!#REF!/'18年合同登记表'!#REF!</f>
        <v>#REF!</v>
      </c>
      <c r="AR28" s="122" t="e">
        <f>客服部最终提成计算表!$X39*0.15*0.8*0.05*'18年合同登记表'!#REF!/'18年合同登记表'!#REF!</f>
        <v>#REF!</v>
      </c>
      <c r="AS28" s="122" t="e">
        <f>客服部最终提成计算表!$X39*0.15*0.8*0.02*'18年合同登记表'!#REF!/'18年合同登记表'!#REF!</f>
        <v>#REF!</v>
      </c>
      <c r="AT28" s="122" t="e">
        <f>客服部最终提成计算表!$X39*0.15*0.8*0.85*'18年合同登记表'!#REF!/'18年合同登记表'!#REF!</f>
        <v>#REF!</v>
      </c>
      <c r="AU28" s="122" t="e">
        <f>客服部最终提成计算表!$X39*0.15*0.8*0.08*'18年合同登记表'!#REF!/'18年合同登记表'!#REF!</f>
        <v>#REF!</v>
      </c>
      <c r="AV28" s="122" t="e">
        <f>客服部最终提成计算表!$X39*0.15*0.8*0.05*'18年合同登记表'!#REF!/'18年合同登记表'!#REF!</f>
        <v>#REF!</v>
      </c>
      <c r="AW28" s="122" t="e">
        <f>客服部最终提成计算表!$X39*0.15*0.8*0.02*'18年合同登记表'!#REF!/'18年合同登记表'!#REF!</f>
        <v>#REF!</v>
      </c>
      <c r="AX28" s="122" t="e">
        <f>客服部最终提成计算表!$X39*0.15*0.8*0.85*'18年合同登记表'!#REF!/'18年合同登记表'!#REF!</f>
        <v>#REF!</v>
      </c>
      <c r="AY28" s="122" t="e">
        <f>客服部最终提成计算表!$X39*0.15*0.8*0.08*'18年合同登记表'!#REF!/'18年合同登记表'!#REF!</f>
        <v>#REF!</v>
      </c>
      <c r="AZ28" s="122" t="e">
        <f>客服部最终提成计算表!$X39*0.15*0.8*0.05*'18年合同登记表'!#REF!/'18年合同登记表'!#REF!</f>
        <v>#REF!</v>
      </c>
      <c r="BA28" s="131" t="e">
        <f>客服部最终提成计算表!$X39*0.15*0.8*0.02*'18年合同登记表'!#REF!/'18年合同登记表'!#REF!</f>
        <v>#REF!</v>
      </c>
    </row>
    <row r="29" s="104" customFormat="1" ht="14.25" spans="1:53">
      <c r="A29" s="117">
        <v>25</v>
      </c>
      <c r="B29" s="118" t="str">
        <f>'18年合同登记表'!F25</f>
        <v>中科华誉</v>
      </c>
      <c r="C29" s="119" t="str">
        <f>'18年合同登记表'!H25</f>
        <v>NHY-20180106-Q-01-01-044</v>
      </c>
      <c r="D29" s="119" t="str">
        <f>'18年合同登记表'!I25</f>
        <v>更换压缩机（香山28号站12#机组）</v>
      </c>
      <c r="E29" s="120" t="str">
        <f>'18年合同登记表'!L25</f>
        <v>李劲</v>
      </c>
      <c r="F29" s="121">
        <f>客服部最终提成计算表!$X35*0.15*0.8*0.85*'18年合同登记表'!T25/'18年合同登记表'!$M25</f>
        <v>0</v>
      </c>
      <c r="G29" s="122">
        <f>客服部最终提成计算表!$X35*0.15*0.8*0.08*'18年合同登记表'!T25/'18年合同登记表'!$M25</f>
        <v>0</v>
      </c>
      <c r="H29" s="122">
        <f>客服部最终提成计算表!$X35*0.15*0.8*0.05*'18年合同登记表'!T25/'18年合同登记表'!$M25</f>
        <v>0</v>
      </c>
      <c r="I29" s="122">
        <f>客服部最终提成计算表!$X35*0.15*0.8*0.02*'18年合同登记表'!T25/'18年合同登记表'!$M25</f>
        <v>0</v>
      </c>
      <c r="J29" s="122">
        <f>客服部最终提成计算表!$X35*0.15*0.8*0.85*'18年合同登记表'!V25/'18年合同登记表'!$M25</f>
        <v>1836</v>
      </c>
      <c r="K29" s="122">
        <f>客服部最终提成计算表!$X35*0.15*0.8*0.08*'18年合同登记表'!V25/'18年合同登记表'!$M25</f>
        <v>172.8</v>
      </c>
      <c r="L29" s="122">
        <f>客服部最终提成计算表!$X35*0.15*0.8*0.05*'18年合同登记表'!V25/'18年合同登记表'!$M25</f>
        <v>108</v>
      </c>
      <c r="M29" s="122">
        <f>客服部最终提成计算表!$X35*0.15*0.8*0.02*'18年合同登记表'!V25/'18年合同登记表'!$M25</f>
        <v>43.2</v>
      </c>
      <c r="N29" s="122">
        <f>客服部最终提成计算表!$X35*0.15*0.8*0.85*'18年合同登记表'!X25/'18年合同登记表'!$M25</f>
        <v>0</v>
      </c>
      <c r="O29" s="122">
        <f>客服部最终提成计算表!$X35*0.15*0.8*0.08*'18年合同登记表'!X25/'18年合同登记表'!$M25</f>
        <v>0</v>
      </c>
      <c r="P29" s="122">
        <f>客服部最终提成计算表!$X35*0.15*0.8*0.05*'18年合同登记表'!X25/'18年合同登记表'!$M25</f>
        <v>0</v>
      </c>
      <c r="Q29" s="122">
        <f>客服部最终提成计算表!$X35*0.15*0.8*0.02*'18年合同登记表'!X25/'18年合同登记表'!$M25</f>
        <v>0</v>
      </c>
      <c r="R29" s="122">
        <f>客服部最终提成计算表!$X35*0.15*0.8*0.85*'18年合同登记表'!Z25/'18年合同登记表'!$M25</f>
        <v>0</v>
      </c>
      <c r="S29" s="122">
        <f>客服部最终提成计算表!$X35*0.15*0.8*0.08*'18年合同登记表'!Z25/'18年合同登记表'!$M25</f>
        <v>0</v>
      </c>
      <c r="T29" s="122">
        <f>客服部最终提成计算表!$X35*0.15*0.8*0.05*'18年合同登记表'!Z25/'18年合同登记表'!$M25</f>
        <v>0</v>
      </c>
      <c r="U29" s="122">
        <f>客服部最终提成计算表!$X35*0.15*0.8*0.02*'18年合同登记表'!Z25/'18年合同登记表'!$M25</f>
        <v>0</v>
      </c>
      <c r="V29" s="122">
        <f>客服部最终提成计算表!$X35*0.15*0.8*0.85*'18年合同登记表'!AB25/'18年合同登记表'!$M25</f>
        <v>0</v>
      </c>
      <c r="W29" s="122">
        <f>客服部最终提成计算表!$X35*0.15*0.8*0.08*'18年合同登记表'!AB25/'18年合同登记表'!$M25</f>
        <v>0</v>
      </c>
      <c r="X29" s="122">
        <f>客服部最终提成计算表!$X35*0.15*0.8*0.05*'18年合同登记表'!AB25/'18年合同登记表'!$M25</f>
        <v>0</v>
      </c>
      <c r="Y29" s="122">
        <f>客服部最终提成计算表!$X35*0.15*0.8*0.02*'18年合同登记表'!AB25/'18年合同登记表'!$M25</f>
        <v>0</v>
      </c>
      <c r="Z29" s="122">
        <f>客服部最终提成计算表!$X35*0.15*0.8*0.85*'18年合同登记表'!AD25/'18年合同登记表'!$M25</f>
        <v>0</v>
      </c>
      <c r="AA29" s="122">
        <f>客服部最终提成计算表!$X35*0.15*0.8*0.08*'18年合同登记表'!AD25/'18年合同登记表'!$M25</f>
        <v>0</v>
      </c>
      <c r="AB29" s="122">
        <f>客服部最终提成计算表!$X35*0.15*0.8*0.05*'18年合同登记表'!AD25/'18年合同登记表'!$M25</f>
        <v>0</v>
      </c>
      <c r="AC29" s="122">
        <f>客服部最终提成计算表!$X35*0.15*0.8*0.02*'18年合同登记表'!AD25/'18年合同登记表'!$M25</f>
        <v>0</v>
      </c>
      <c r="AD29" s="122">
        <f>客服部最终提成计算表!$X35*0.15*0.8*0.85*'18年合同登记表'!AF25/'18年合同登记表'!$M25</f>
        <v>0</v>
      </c>
      <c r="AE29" s="122">
        <f>客服部最终提成计算表!$X35*0.15*0.8*0.08*'18年合同登记表'!AF25/'18年合同登记表'!$M25</f>
        <v>0</v>
      </c>
      <c r="AF29" s="122">
        <f>客服部最终提成计算表!$X35*0.15*0.8*0.05*'18年合同登记表'!AF25/'18年合同登记表'!$M25</f>
        <v>0</v>
      </c>
      <c r="AG29" s="122">
        <f>客服部最终提成计算表!$X35*0.15*0.8*0.02*'18年合同登记表'!AF25/'18年合同登记表'!$M25</f>
        <v>0</v>
      </c>
      <c r="AH29" s="122">
        <f>客服部最终提成计算表!$X35*0.15*0.8*0.85*'18年合同登记表'!AH25/'18年合同登记表'!$M25</f>
        <v>0</v>
      </c>
      <c r="AI29" s="122">
        <f>客服部最终提成计算表!$X35*0.15*0.8*0.08*'18年合同登记表'!AH25/'18年合同登记表'!$M25</f>
        <v>0</v>
      </c>
      <c r="AJ29" s="122">
        <f>客服部最终提成计算表!$X35*0.15*0.8*0.05*'18年合同登记表'!AH25/'18年合同登记表'!$M25</f>
        <v>0</v>
      </c>
      <c r="AK29" s="122">
        <f>客服部最终提成计算表!$X35*0.15*0.8*0.02*'18年合同登记表'!AH25/'18年合同登记表'!$M25</f>
        <v>0</v>
      </c>
      <c r="AL29" s="122">
        <f>客服部最终提成计算表!$X35*0.15*0.8*0.85*'18年合同登记表'!AJ25/'18年合同登记表'!$M25</f>
        <v>0</v>
      </c>
      <c r="AM29" s="122">
        <f>客服部最终提成计算表!$X35*0.15*0.8*0.08*'18年合同登记表'!AJ25/'18年合同登记表'!$M25</f>
        <v>0</v>
      </c>
      <c r="AN29" s="122">
        <f>客服部最终提成计算表!$X35*0.15*0.8*0.05*'18年合同登记表'!AJ25/'18年合同登记表'!$M25</f>
        <v>0</v>
      </c>
      <c r="AO29" s="122">
        <f>客服部最终提成计算表!$X35*0.15*0.8*0.02*'18年合同登记表'!AJ25/'18年合同登记表'!$M25</f>
        <v>0</v>
      </c>
      <c r="AP29" s="122">
        <f>客服部最终提成计算表!$X35*0.15*0.8*0.85*'18年合同登记表'!AL25/'18年合同登记表'!$M25</f>
        <v>0</v>
      </c>
      <c r="AQ29" s="122">
        <f>客服部最终提成计算表!$X35*0.15*0.8*0.08*'18年合同登记表'!AL25/'18年合同登记表'!$M25</f>
        <v>0</v>
      </c>
      <c r="AR29" s="122">
        <f>客服部最终提成计算表!$X35*0.15*0.8*0.05*'18年合同登记表'!AL25/'18年合同登记表'!$M25</f>
        <v>0</v>
      </c>
      <c r="AS29" s="122">
        <f>客服部最终提成计算表!$X35*0.15*0.8*0.02*'18年合同登记表'!AL25/'18年合同登记表'!$M25</f>
        <v>0</v>
      </c>
      <c r="AT29" s="122">
        <f>客服部最终提成计算表!$X35*0.15*0.8*0.85*'18年合同登记表'!AN25/'18年合同登记表'!$M25</f>
        <v>0</v>
      </c>
      <c r="AU29" s="122">
        <f>客服部最终提成计算表!$X35*0.15*0.8*0.08*'18年合同登记表'!AN25/'18年合同登记表'!$M25</f>
        <v>0</v>
      </c>
      <c r="AV29" s="122">
        <f>客服部最终提成计算表!$X35*0.15*0.8*0.05*'18年合同登记表'!AN25/'18年合同登记表'!$M25</f>
        <v>0</v>
      </c>
      <c r="AW29" s="122">
        <f>客服部最终提成计算表!$X35*0.15*0.8*0.02*'18年合同登记表'!AN25/'18年合同登记表'!$M25</f>
        <v>0</v>
      </c>
      <c r="AX29" s="122">
        <f>客服部最终提成计算表!$X35*0.15*0.8*0.85*'18年合同登记表'!AP25/'18年合同登记表'!$M25</f>
        <v>0</v>
      </c>
      <c r="AY29" s="122">
        <f>客服部最终提成计算表!$X35*0.15*0.8*0.08*'18年合同登记表'!AP25/'18年合同登记表'!$M25</f>
        <v>0</v>
      </c>
      <c r="AZ29" s="122">
        <f>客服部最终提成计算表!$X35*0.15*0.8*0.05*'18年合同登记表'!AP25/'18年合同登记表'!$M25</f>
        <v>0</v>
      </c>
      <c r="BA29" s="131">
        <f>客服部最终提成计算表!$X35*0.15*0.8*0.02*'18年合同登记表'!AP25/'18年合同登记表'!$M25</f>
        <v>0</v>
      </c>
    </row>
    <row r="30" s="104" customFormat="1" ht="14.25" spans="1:53">
      <c r="A30" s="117">
        <v>26</v>
      </c>
      <c r="B30" s="118" t="e">
        <f>'18年合同登记表'!#REF!</f>
        <v>#REF!</v>
      </c>
      <c r="C30" s="119" t="e">
        <f>'18年合同登记表'!#REF!</f>
        <v>#REF!</v>
      </c>
      <c r="D30" s="119" t="e">
        <f>'18年合同登记表'!#REF!</f>
        <v>#REF!</v>
      </c>
      <c r="E30" s="120" t="e">
        <f>'18年合同登记表'!#REF!</f>
        <v>#REF!</v>
      </c>
      <c r="F30" s="121" t="e">
        <f>客服部最终提成计算表!$X36*0.15*0.8*0.85*'18年合同登记表'!#REF!/'18年合同登记表'!#REF!</f>
        <v>#REF!</v>
      </c>
      <c r="G30" s="122" t="e">
        <f>客服部最终提成计算表!$X36*0.15*0.8*0.08*'18年合同登记表'!#REF!/'18年合同登记表'!#REF!</f>
        <v>#REF!</v>
      </c>
      <c r="H30" s="122" t="e">
        <f>客服部最终提成计算表!$X36*0.15*0.8*0.05*'18年合同登记表'!#REF!/'18年合同登记表'!#REF!</f>
        <v>#REF!</v>
      </c>
      <c r="I30" s="122" t="e">
        <f>客服部最终提成计算表!$X36*0.15*0.8*0.02*'18年合同登记表'!#REF!/'18年合同登记表'!#REF!</f>
        <v>#REF!</v>
      </c>
      <c r="J30" s="122" t="e">
        <f>客服部最终提成计算表!$X36*0.15*0.8*0.85*'18年合同登记表'!#REF!/'18年合同登记表'!#REF!</f>
        <v>#REF!</v>
      </c>
      <c r="K30" s="122" t="e">
        <f>客服部最终提成计算表!$X36*0.15*0.8*0.08*'18年合同登记表'!#REF!/'18年合同登记表'!#REF!</f>
        <v>#REF!</v>
      </c>
      <c r="L30" s="122" t="e">
        <f>客服部最终提成计算表!$X36*0.15*0.8*0.05*'18年合同登记表'!#REF!/'18年合同登记表'!#REF!</f>
        <v>#REF!</v>
      </c>
      <c r="M30" s="122" t="e">
        <f>客服部最终提成计算表!$X36*0.15*0.8*0.02*'18年合同登记表'!#REF!/'18年合同登记表'!#REF!</f>
        <v>#REF!</v>
      </c>
      <c r="N30" s="122" t="e">
        <f>客服部最终提成计算表!$X36*0.15*0.8*0.85*'18年合同登记表'!#REF!/'18年合同登记表'!#REF!</f>
        <v>#REF!</v>
      </c>
      <c r="O30" s="122" t="e">
        <f>客服部最终提成计算表!$X36*0.15*0.8*0.08*'18年合同登记表'!#REF!/'18年合同登记表'!#REF!</f>
        <v>#REF!</v>
      </c>
      <c r="P30" s="122" t="e">
        <f>客服部最终提成计算表!$X36*0.15*0.8*0.05*'18年合同登记表'!#REF!/'18年合同登记表'!#REF!</f>
        <v>#REF!</v>
      </c>
      <c r="Q30" s="122" t="e">
        <f>客服部最终提成计算表!$X36*0.15*0.8*0.02*'18年合同登记表'!#REF!/'18年合同登记表'!#REF!</f>
        <v>#REF!</v>
      </c>
      <c r="R30" s="122" t="e">
        <f>客服部最终提成计算表!$X36*0.15*0.8*0.85*'18年合同登记表'!#REF!/'18年合同登记表'!#REF!</f>
        <v>#REF!</v>
      </c>
      <c r="S30" s="122" t="e">
        <f>客服部最终提成计算表!$X36*0.15*0.8*0.08*'18年合同登记表'!#REF!/'18年合同登记表'!#REF!</f>
        <v>#REF!</v>
      </c>
      <c r="T30" s="122" t="e">
        <f>客服部最终提成计算表!$X36*0.15*0.8*0.05*'18年合同登记表'!#REF!/'18年合同登记表'!#REF!</f>
        <v>#REF!</v>
      </c>
      <c r="U30" s="122" t="e">
        <f>客服部最终提成计算表!$X36*0.15*0.8*0.02*'18年合同登记表'!#REF!/'18年合同登记表'!#REF!</f>
        <v>#REF!</v>
      </c>
      <c r="V30" s="122" t="e">
        <f>客服部最终提成计算表!$X36*0.15*0.8*0.85*'18年合同登记表'!#REF!/'18年合同登记表'!#REF!</f>
        <v>#REF!</v>
      </c>
      <c r="W30" s="122" t="e">
        <f>客服部最终提成计算表!$X36*0.15*0.8*0.08*'18年合同登记表'!#REF!/'18年合同登记表'!#REF!</f>
        <v>#REF!</v>
      </c>
      <c r="X30" s="122" t="e">
        <f>客服部最终提成计算表!$X36*0.15*0.8*0.05*'18年合同登记表'!#REF!/'18年合同登记表'!#REF!</f>
        <v>#REF!</v>
      </c>
      <c r="Y30" s="122" t="e">
        <f>客服部最终提成计算表!$X36*0.15*0.8*0.02*'18年合同登记表'!#REF!/'18年合同登记表'!#REF!</f>
        <v>#REF!</v>
      </c>
      <c r="Z30" s="122" t="e">
        <f>客服部最终提成计算表!$X36*0.15*0.8*0.85*'18年合同登记表'!#REF!/'18年合同登记表'!#REF!</f>
        <v>#REF!</v>
      </c>
      <c r="AA30" s="122" t="e">
        <f>客服部最终提成计算表!$X36*0.15*0.8*0.08*'18年合同登记表'!#REF!/'18年合同登记表'!#REF!</f>
        <v>#REF!</v>
      </c>
      <c r="AB30" s="122" t="e">
        <f>客服部最终提成计算表!$X36*0.15*0.8*0.05*'18年合同登记表'!#REF!/'18年合同登记表'!#REF!</f>
        <v>#REF!</v>
      </c>
      <c r="AC30" s="122" t="e">
        <f>客服部最终提成计算表!$X36*0.15*0.8*0.02*'18年合同登记表'!#REF!/'18年合同登记表'!#REF!</f>
        <v>#REF!</v>
      </c>
      <c r="AD30" s="122" t="e">
        <f>客服部最终提成计算表!$X36*0.15*0.8*0.85*'18年合同登记表'!#REF!/'18年合同登记表'!#REF!</f>
        <v>#REF!</v>
      </c>
      <c r="AE30" s="122" t="e">
        <f>客服部最终提成计算表!$X36*0.15*0.8*0.08*'18年合同登记表'!#REF!/'18年合同登记表'!#REF!</f>
        <v>#REF!</v>
      </c>
      <c r="AF30" s="122" t="e">
        <f>客服部最终提成计算表!$X36*0.15*0.8*0.05*'18年合同登记表'!#REF!/'18年合同登记表'!#REF!</f>
        <v>#REF!</v>
      </c>
      <c r="AG30" s="122" t="e">
        <f>客服部最终提成计算表!$X36*0.15*0.8*0.02*'18年合同登记表'!#REF!/'18年合同登记表'!#REF!</f>
        <v>#REF!</v>
      </c>
      <c r="AH30" s="122" t="e">
        <f>客服部最终提成计算表!$X36*0.15*0.8*0.85*'18年合同登记表'!#REF!/'18年合同登记表'!#REF!</f>
        <v>#REF!</v>
      </c>
      <c r="AI30" s="122" t="e">
        <f>客服部最终提成计算表!$X36*0.15*0.8*0.08*'18年合同登记表'!#REF!/'18年合同登记表'!#REF!</f>
        <v>#REF!</v>
      </c>
      <c r="AJ30" s="122" t="e">
        <f>客服部最终提成计算表!$X36*0.15*0.8*0.05*'18年合同登记表'!#REF!/'18年合同登记表'!#REF!</f>
        <v>#REF!</v>
      </c>
      <c r="AK30" s="122" t="e">
        <f>客服部最终提成计算表!$X36*0.15*0.8*0.02*'18年合同登记表'!#REF!/'18年合同登记表'!#REF!</f>
        <v>#REF!</v>
      </c>
      <c r="AL30" s="122" t="e">
        <f>客服部最终提成计算表!$X36*0.15*0.8*0.85*'18年合同登记表'!#REF!/'18年合同登记表'!#REF!</f>
        <v>#REF!</v>
      </c>
      <c r="AM30" s="122" t="e">
        <f>客服部最终提成计算表!$X36*0.15*0.8*0.08*'18年合同登记表'!#REF!/'18年合同登记表'!#REF!</f>
        <v>#REF!</v>
      </c>
      <c r="AN30" s="122" t="e">
        <f>客服部最终提成计算表!$X36*0.15*0.8*0.05*'18年合同登记表'!#REF!/'18年合同登记表'!#REF!</f>
        <v>#REF!</v>
      </c>
      <c r="AO30" s="122" t="e">
        <f>客服部最终提成计算表!$X36*0.15*0.8*0.02*'18年合同登记表'!#REF!/'18年合同登记表'!#REF!</f>
        <v>#REF!</v>
      </c>
      <c r="AP30" s="122" t="e">
        <f>客服部最终提成计算表!$X36*0.15*0.8*0.85*'18年合同登记表'!#REF!/'18年合同登记表'!#REF!</f>
        <v>#REF!</v>
      </c>
      <c r="AQ30" s="122" t="e">
        <f>客服部最终提成计算表!$X36*0.15*0.8*0.08*'18年合同登记表'!#REF!/'18年合同登记表'!#REF!</f>
        <v>#REF!</v>
      </c>
      <c r="AR30" s="122" t="e">
        <f>客服部最终提成计算表!$X36*0.15*0.8*0.05*'18年合同登记表'!#REF!/'18年合同登记表'!#REF!</f>
        <v>#REF!</v>
      </c>
      <c r="AS30" s="122" t="e">
        <f>客服部最终提成计算表!$X36*0.15*0.8*0.02*'18年合同登记表'!#REF!/'18年合同登记表'!#REF!</f>
        <v>#REF!</v>
      </c>
      <c r="AT30" s="122" t="e">
        <f>客服部最终提成计算表!$X36*0.15*0.8*0.85*'18年合同登记表'!#REF!/'18年合同登记表'!#REF!</f>
        <v>#REF!</v>
      </c>
      <c r="AU30" s="122" t="e">
        <f>客服部最终提成计算表!$X36*0.15*0.8*0.08*'18年合同登记表'!#REF!/'18年合同登记表'!#REF!</f>
        <v>#REF!</v>
      </c>
      <c r="AV30" s="122" t="e">
        <f>客服部最终提成计算表!$X36*0.15*0.8*0.05*'18年合同登记表'!#REF!/'18年合同登记表'!#REF!</f>
        <v>#REF!</v>
      </c>
      <c r="AW30" s="122" t="e">
        <f>客服部最终提成计算表!$X36*0.15*0.8*0.02*'18年合同登记表'!#REF!/'18年合同登记表'!#REF!</f>
        <v>#REF!</v>
      </c>
      <c r="AX30" s="122" t="e">
        <f>客服部最终提成计算表!$X36*0.15*0.8*0.85*'18年合同登记表'!#REF!/'18年合同登记表'!#REF!</f>
        <v>#REF!</v>
      </c>
      <c r="AY30" s="122" t="e">
        <f>客服部最终提成计算表!$X36*0.15*0.8*0.08*'18年合同登记表'!#REF!/'18年合同登记表'!#REF!</f>
        <v>#REF!</v>
      </c>
      <c r="AZ30" s="122" t="e">
        <f>客服部最终提成计算表!$X36*0.15*0.8*0.05*'18年合同登记表'!#REF!/'18年合同登记表'!#REF!</f>
        <v>#REF!</v>
      </c>
      <c r="BA30" s="131" t="e">
        <f>客服部最终提成计算表!$X36*0.15*0.8*0.02*'18年合同登记表'!#REF!/'18年合同登记表'!#REF!</f>
        <v>#REF!</v>
      </c>
    </row>
    <row r="31" s="104" customFormat="1" ht="14.25" spans="1:53">
      <c r="A31" s="123" t="s">
        <v>973</v>
      </c>
      <c r="B31" s="124"/>
      <c r="C31" s="125"/>
      <c r="D31" s="125"/>
      <c r="E31" s="126"/>
      <c r="F31" s="127" t="e">
        <f>SUM(F5:F30)</f>
        <v>#REF!</v>
      </c>
      <c r="G31" s="127" t="e">
        <f t="shared" ref="G31:BA31" si="0">SUM(G5:G30)</f>
        <v>#REF!</v>
      </c>
      <c r="H31" s="127" t="e">
        <f t="shared" si="0"/>
        <v>#REF!</v>
      </c>
      <c r="I31" s="127" t="e">
        <f t="shared" si="0"/>
        <v>#REF!</v>
      </c>
      <c r="J31" s="127" t="e">
        <f t="shared" si="0"/>
        <v>#REF!</v>
      </c>
      <c r="K31" s="127" t="e">
        <f t="shared" si="0"/>
        <v>#REF!</v>
      </c>
      <c r="L31" s="127" t="e">
        <f t="shared" si="0"/>
        <v>#REF!</v>
      </c>
      <c r="M31" s="127" t="e">
        <f t="shared" si="0"/>
        <v>#REF!</v>
      </c>
      <c r="N31" s="127" t="e">
        <f t="shared" si="0"/>
        <v>#REF!</v>
      </c>
      <c r="O31" s="127" t="e">
        <f t="shared" si="0"/>
        <v>#REF!</v>
      </c>
      <c r="P31" s="127" t="e">
        <f t="shared" si="0"/>
        <v>#REF!</v>
      </c>
      <c r="Q31" s="127" t="e">
        <f t="shared" si="0"/>
        <v>#REF!</v>
      </c>
      <c r="R31" s="127" t="e">
        <f t="shared" si="0"/>
        <v>#REF!</v>
      </c>
      <c r="S31" s="127" t="e">
        <f t="shared" si="0"/>
        <v>#REF!</v>
      </c>
      <c r="T31" s="127" t="e">
        <f t="shared" si="0"/>
        <v>#REF!</v>
      </c>
      <c r="U31" s="127" t="e">
        <f t="shared" si="0"/>
        <v>#REF!</v>
      </c>
      <c r="V31" s="127" t="e">
        <f t="shared" si="0"/>
        <v>#REF!</v>
      </c>
      <c r="W31" s="127" t="e">
        <f t="shared" si="0"/>
        <v>#REF!</v>
      </c>
      <c r="X31" s="127" t="e">
        <f t="shared" si="0"/>
        <v>#REF!</v>
      </c>
      <c r="Y31" s="127" t="e">
        <f t="shared" si="0"/>
        <v>#REF!</v>
      </c>
      <c r="Z31" s="127" t="e">
        <f t="shared" si="0"/>
        <v>#REF!</v>
      </c>
      <c r="AA31" s="127" t="e">
        <f t="shared" si="0"/>
        <v>#REF!</v>
      </c>
      <c r="AB31" s="127" t="e">
        <f t="shared" si="0"/>
        <v>#REF!</v>
      </c>
      <c r="AC31" s="127" t="e">
        <f t="shared" si="0"/>
        <v>#REF!</v>
      </c>
      <c r="AD31" s="127" t="e">
        <f t="shared" si="0"/>
        <v>#REF!</v>
      </c>
      <c r="AE31" s="127" t="e">
        <f t="shared" si="0"/>
        <v>#REF!</v>
      </c>
      <c r="AF31" s="127" t="e">
        <f t="shared" si="0"/>
        <v>#REF!</v>
      </c>
      <c r="AG31" s="127" t="e">
        <f t="shared" si="0"/>
        <v>#REF!</v>
      </c>
      <c r="AH31" s="127" t="e">
        <f t="shared" si="0"/>
        <v>#REF!</v>
      </c>
      <c r="AI31" s="127" t="e">
        <f t="shared" si="0"/>
        <v>#REF!</v>
      </c>
      <c r="AJ31" s="127" t="e">
        <f t="shared" si="0"/>
        <v>#REF!</v>
      </c>
      <c r="AK31" s="127" t="e">
        <f t="shared" si="0"/>
        <v>#REF!</v>
      </c>
      <c r="AL31" s="127" t="e">
        <f t="shared" si="0"/>
        <v>#REF!</v>
      </c>
      <c r="AM31" s="127" t="e">
        <f t="shared" si="0"/>
        <v>#REF!</v>
      </c>
      <c r="AN31" s="127" t="e">
        <f t="shared" si="0"/>
        <v>#REF!</v>
      </c>
      <c r="AO31" s="127" t="e">
        <f t="shared" si="0"/>
        <v>#REF!</v>
      </c>
      <c r="AP31" s="127" t="e">
        <f t="shared" si="0"/>
        <v>#REF!</v>
      </c>
      <c r="AQ31" s="127" t="e">
        <f t="shared" si="0"/>
        <v>#REF!</v>
      </c>
      <c r="AR31" s="127" t="e">
        <f t="shared" si="0"/>
        <v>#REF!</v>
      </c>
      <c r="AS31" s="127" t="e">
        <f t="shared" si="0"/>
        <v>#REF!</v>
      </c>
      <c r="AT31" s="127" t="e">
        <f t="shared" si="0"/>
        <v>#REF!</v>
      </c>
      <c r="AU31" s="127" t="e">
        <f t="shared" si="0"/>
        <v>#REF!</v>
      </c>
      <c r="AV31" s="127" t="e">
        <f t="shared" si="0"/>
        <v>#REF!</v>
      </c>
      <c r="AW31" s="127" t="e">
        <f t="shared" si="0"/>
        <v>#REF!</v>
      </c>
      <c r="AX31" s="127" t="e">
        <f t="shared" si="0"/>
        <v>#REF!</v>
      </c>
      <c r="AY31" s="127" t="e">
        <f t="shared" si="0"/>
        <v>#REF!</v>
      </c>
      <c r="AZ31" s="127" t="e">
        <f t="shared" si="0"/>
        <v>#REF!</v>
      </c>
      <c r="BA31" s="127" t="e">
        <f t="shared" si="0"/>
        <v>#REF!</v>
      </c>
    </row>
    <row r="32" s="104" customFormat="1" ht="14.25" spans="1:53">
      <c r="A32" s="117"/>
      <c r="B32" s="118" t="str">
        <f>'18年合同登记表'!F30</f>
        <v>艾福亿维</v>
      </c>
      <c r="C32" s="119" t="str">
        <f>'18年合同登记表'!H30</f>
        <v>没有编号</v>
      </c>
      <c r="D32" s="119" t="str">
        <f>'18年合同登记表'!I30</f>
        <v>过滤器</v>
      </c>
      <c r="E32" s="120" t="str">
        <f>'18年合同登记表'!L30</f>
        <v>陈勇/</v>
      </c>
      <c r="F32" s="121">
        <f>客服部最终提成计算表!$X34*0.15*0.8*0.85*'18年合同登记表'!T30/'18年合同登记表'!$M30</f>
        <v>0</v>
      </c>
      <c r="G32" s="122">
        <f>客服部最终提成计算表!$X34*0.15*0.8*0.08*'18年合同登记表'!T30/'18年合同登记表'!$M30</f>
        <v>0</v>
      </c>
      <c r="H32" s="122">
        <f>客服部最终提成计算表!$X34*0.15*0.8*0.05*'18年合同登记表'!T30/'18年合同登记表'!$M30</f>
        <v>0</v>
      </c>
      <c r="I32" s="122">
        <f>客服部最终提成计算表!$X34*0.15*0.8*0.02*'18年合同登记表'!T30/'18年合同登记表'!$M30</f>
        <v>0</v>
      </c>
      <c r="J32" s="122">
        <f>客服部最终提成计算表!$X34*0.15*0.8*0.85*'18年合同登记表'!V30/'18年合同登记表'!$M30</f>
        <v>0</v>
      </c>
      <c r="K32" s="122">
        <f>客服部最终提成计算表!$X34*0.15*0.8*0.08*'18年合同登记表'!V30/'18年合同登记表'!$M30</f>
        <v>0</v>
      </c>
      <c r="L32" s="122">
        <f>客服部最终提成计算表!$X34*0.15*0.8*0.05*'18年合同登记表'!V30/'18年合同登记表'!$M30</f>
        <v>0</v>
      </c>
      <c r="M32" s="122">
        <f>客服部最终提成计算表!$X34*0.15*0.8*0.02*'18年合同登记表'!V30/'18年合同登记表'!$M30</f>
        <v>0</v>
      </c>
      <c r="N32" s="122">
        <f>客服部最终提成计算表!$X34*0.15*0.8*0.85*'18年合同登记表'!X30/'18年合同登记表'!$M30</f>
        <v>0</v>
      </c>
      <c r="O32" s="122">
        <f>客服部最终提成计算表!$X34*0.15*0.8*0.08*'18年合同登记表'!X30/'18年合同登记表'!$M30</f>
        <v>0</v>
      </c>
      <c r="P32" s="122">
        <f>客服部最终提成计算表!$X34*0.15*0.8*0.05*'18年合同登记表'!X30/'18年合同登记表'!$M30</f>
        <v>0</v>
      </c>
      <c r="Q32" s="122">
        <f>客服部最终提成计算表!$X34*0.15*0.8*0.02*'18年合同登记表'!X30/'18年合同登记表'!$M30</f>
        <v>0</v>
      </c>
      <c r="R32" s="122">
        <f>客服部最终提成计算表!$X34*0.15*0.8*0.85*'18年合同登记表'!Z30/'18年合同登记表'!$M30</f>
        <v>0</v>
      </c>
      <c r="S32" s="122">
        <f>客服部最终提成计算表!$X34*0.15*0.8*0.08*'18年合同登记表'!Z30/'18年合同登记表'!$M30</f>
        <v>0</v>
      </c>
      <c r="T32" s="122">
        <f>客服部最终提成计算表!$X34*0.15*0.8*0.05*'18年合同登记表'!Z30/'18年合同登记表'!$M30</f>
        <v>0</v>
      </c>
      <c r="U32" s="122">
        <f>客服部最终提成计算表!$X34*0.15*0.8*0.02*'18年合同登记表'!Z30/'18年合同登记表'!$M30</f>
        <v>0</v>
      </c>
      <c r="V32" s="122">
        <f>客服部最终提成计算表!$X34*0.15*0.8*0.85*'18年合同登记表'!AB30/'18年合同登记表'!$M30</f>
        <v>163.2</v>
      </c>
      <c r="W32" s="122">
        <f>客服部最终提成计算表!$X34*0.15*0.8*0.08*'18年合同登记表'!AB30/'18年合同登记表'!$M30</f>
        <v>15.36</v>
      </c>
      <c r="X32" s="122">
        <f>客服部最终提成计算表!$X34*0.15*0.8*0.05*'18年合同登记表'!AB30/'18年合同登记表'!$M30</f>
        <v>9.6</v>
      </c>
      <c r="Y32" s="122">
        <f>客服部最终提成计算表!$X34*0.15*0.8*0.02*'18年合同登记表'!AB30/'18年合同登记表'!$M30</f>
        <v>3.84</v>
      </c>
      <c r="Z32" s="122">
        <f>客服部最终提成计算表!$X34*0.15*0.8*0.85*'18年合同登记表'!AD30/'18年合同登记表'!$M30</f>
        <v>0</v>
      </c>
      <c r="AA32" s="122">
        <f>客服部最终提成计算表!$X34*0.15*0.8*0.08*'18年合同登记表'!AD30/'18年合同登记表'!$M30</f>
        <v>0</v>
      </c>
      <c r="AB32" s="122">
        <f>客服部最终提成计算表!$X34*0.15*0.8*0.05*'18年合同登记表'!AD30/'18年合同登记表'!$M30</f>
        <v>0</v>
      </c>
      <c r="AC32" s="122">
        <f>客服部最终提成计算表!$X34*0.15*0.8*0.02*'18年合同登记表'!AD30/'18年合同登记表'!$M30</f>
        <v>0</v>
      </c>
      <c r="AD32" s="122">
        <f>客服部最终提成计算表!$X34*0.15*0.8*0.85*'18年合同登记表'!AF30/'18年合同登记表'!$M30</f>
        <v>0</v>
      </c>
      <c r="AE32" s="122">
        <f>客服部最终提成计算表!$X34*0.15*0.8*0.08*'18年合同登记表'!AF30/'18年合同登记表'!$M30</f>
        <v>0</v>
      </c>
      <c r="AF32" s="122">
        <f>客服部最终提成计算表!$X34*0.15*0.8*0.05*'18年合同登记表'!AF30/'18年合同登记表'!$M30</f>
        <v>0</v>
      </c>
      <c r="AG32" s="122">
        <f>客服部最终提成计算表!$X34*0.15*0.8*0.02*'18年合同登记表'!AF30/'18年合同登记表'!$M30</f>
        <v>0</v>
      </c>
      <c r="AH32" s="122">
        <f>客服部最终提成计算表!$X34*0.15*0.8*0.85*'18年合同登记表'!AH30/'18年合同登记表'!$M30</f>
        <v>0</v>
      </c>
      <c r="AI32" s="122">
        <f>客服部最终提成计算表!$X34*0.15*0.8*0.08*'18年合同登记表'!AH30/'18年合同登记表'!$M30</f>
        <v>0</v>
      </c>
      <c r="AJ32" s="122">
        <f>客服部最终提成计算表!$X34*0.15*0.8*0.05*'18年合同登记表'!AH30/'18年合同登记表'!$M30</f>
        <v>0</v>
      </c>
      <c r="AK32" s="122">
        <f>客服部最终提成计算表!$X34*0.15*0.8*0.02*'18年合同登记表'!AH30/'18年合同登记表'!$M30</f>
        <v>0</v>
      </c>
      <c r="AL32" s="122">
        <f>客服部最终提成计算表!$X34*0.15*0.8*0.85*'18年合同登记表'!AJ30/'18年合同登记表'!$M30</f>
        <v>0</v>
      </c>
      <c r="AM32" s="122">
        <f>客服部最终提成计算表!$X34*0.15*0.8*0.08*'18年合同登记表'!AJ30/'18年合同登记表'!$M30</f>
        <v>0</v>
      </c>
      <c r="AN32" s="122">
        <f>客服部最终提成计算表!$X34*0.15*0.8*0.05*'18年合同登记表'!AJ30/'18年合同登记表'!$M30</f>
        <v>0</v>
      </c>
      <c r="AO32" s="122">
        <f>客服部最终提成计算表!$X34*0.15*0.8*0.02*'18年合同登记表'!AJ30/'18年合同登记表'!$M30</f>
        <v>0</v>
      </c>
      <c r="AP32" s="122">
        <f>客服部最终提成计算表!$X34*0.15*0.8*0.85*'18年合同登记表'!AL30/'18年合同登记表'!$M30</f>
        <v>0</v>
      </c>
      <c r="AQ32" s="122">
        <f>客服部最终提成计算表!$X34*0.15*0.8*0.08*'18年合同登记表'!AL30/'18年合同登记表'!$M30</f>
        <v>0</v>
      </c>
      <c r="AR32" s="122">
        <f>客服部最终提成计算表!$X34*0.15*0.8*0.05*'18年合同登记表'!AL30/'18年合同登记表'!$M30</f>
        <v>0</v>
      </c>
      <c r="AS32" s="122">
        <f>客服部最终提成计算表!$X34*0.15*0.8*0.02*'18年合同登记表'!AL30/'18年合同登记表'!$M30</f>
        <v>0</v>
      </c>
      <c r="AT32" s="122">
        <f>客服部最终提成计算表!$X34*0.15*0.8*0.85*'18年合同登记表'!AN30/'18年合同登记表'!$M30</f>
        <v>0</v>
      </c>
      <c r="AU32" s="122">
        <f>客服部最终提成计算表!$X34*0.15*0.8*0.08*'18年合同登记表'!AN30/'18年合同登记表'!$M30</f>
        <v>0</v>
      </c>
      <c r="AV32" s="122">
        <f>客服部最终提成计算表!$X34*0.15*0.8*0.05*'18年合同登记表'!AN30/'18年合同登记表'!$M30</f>
        <v>0</v>
      </c>
      <c r="AW32" s="122">
        <f>客服部最终提成计算表!$X34*0.15*0.8*0.02*'18年合同登记表'!AN30/'18年合同登记表'!$M30</f>
        <v>0</v>
      </c>
      <c r="AX32" s="122">
        <f>客服部最终提成计算表!$X34*0.15*0.8*0.85*'18年合同登记表'!AP30/'18年合同登记表'!$M30</f>
        <v>0</v>
      </c>
      <c r="AY32" s="122">
        <f>客服部最终提成计算表!$X34*0.15*0.8*0.08*'18年合同登记表'!AP30/'18年合同登记表'!$M30</f>
        <v>0</v>
      </c>
      <c r="AZ32" s="122">
        <f>客服部最终提成计算表!$X34*0.15*0.8*0.05*'18年合同登记表'!AP30/'18年合同登记表'!$M30</f>
        <v>0</v>
      </c>
      <c r="BA32" s="131">
        <f>客服部最终提成计算表!$X34*0.15*0.8*0.02*'18年合同登记表'!AP30/'18年合同登记表'!$M30</f>
        <v>0</v>
      </c>
    </row>
    <row r="33" s="104" customFormat="1" ht="14.25" spans="1:53">
      <c r="A33" s="117"/>
      <c r="B33" s="118" t="str">
        <f>'18年合同登记表'!F31</f>
        <v>东方文创</v>
      </c>
      <c r="C33" s="119" t="str">
        <f>'18年合同登记表'!H31</f>
        <v>NHY-20180130-L-01-01-030</v>
      </c>
      <c r="D33" s="119" t="str">
        <f>'18年合同登记表'!I31</f>
        <v>更换显示屏</v>
      </c>
      <c r="E33" s="120" t="str">
        <f>'18年合同登记表'!L31</f>
        <v>陈勇/</v>
      </c>
      <c r="F33" s="121">
        <f>客服部最终提成计算表!$X35*0.15*0.8*0.85*'18年合同登记表'!T31/'18年合同登记表'!$M31</f>
        <v>0</v>
      </c>
      <c r="G33" s="122">
        <f>客服部最终提成计算表!$X35*0.15*0.8*0.08*'18年合同登记表'!T31/'18年合同登记表'!$M31</f>
        <v>0</v>
      </c>
      <c r="H33" s="122">
        <f>客服部最终提成计算表!$X35*0.15*0.8*0.05*'18年合同登记表'!T31/'18年合同登记表'!$M31</f>
        <v>0</v>
      </c>
      <c r="I33" s="122">
        <f>客服部最终提成计算表!$X35*0.15*0.8*0.02*'18年合同登记表'!T31/'18年合同登记表'!$M31</f>
        <v>0</v>
      </c>
      <c r="J33" s="122">
        <f>客服部最终提成计算表!$X35*0.15*0.8*0.85*'18年合同登记表'!V31/'18年合同登记表'!$M31</f>
        <v>1836</v>
      </c>
      <c r="K33" s="122">
        <f>客服部最终提成计算表!$X35*0.15*0.8*0.08*'18年合同登记表'!V31/'18年合同登记表'!$M31</f>
        <v>172.8</v>
      </c>
      <c r="L33" s="122">
        <f>客服部最终提成计算表!$X35*0.15*0.8*0.05*'18年合同登记表'!V31/'18年合同登记表'!$M31</f>
        <v>108</v>
      </c>
      <c r="M33" s="122">
        <f>客服部最终提成计算表!$X35*0.15*0.8*0.02*'18年合同登记表'!V31/'18年合同登记表'!$M31</f>
        <v>43.2</v>
      </c>
      <c r="N33" s="122">
        <f>客服部最终提成计算表!$X35*0.15*0.8*0.85*'18年合同登记表'!X31/'18年合同登记表'!$M31</f>
        <v>0</v>
      </c>
      <c r="O33" s="122">
        <f>客服部最终提成计算表!$X35*0.15*0.8*0.08*'18年合同登记表'!X31/'18年合同登记表'!$M31</f>
        <v>0</v>
      </c>
      <c r="P33" s="122">
        <f>客服部最终提成计算表!$X35*0.15*0.8*0.05*'18年合同登记表'!X31/'18年合同登记表'!$M31</f>
        <v>0</v>
      </c>
      <c r="Q33" s="122">
        <f>客服部最终提成计算表!$X35*0.15*0.8*0.02*'18年合同登记表'!X31/'18年合同登记表'!$M31</f>
        <v>0</v>
      </c>
      <c r="R33" s="122">
        <f>客服部最终提成计算表!$X35*0.15*0.8*0.85*'18年合同登记表'!Z31/'18年合同登记表'!$M31</f>
        <v>0</v>
      </c>
      <c r="S33" s="122">
        <f>客服部最终提成计算表!$X35*0.15*0.8*0.08*'18年合同登记表'!Z31/'18年合同登记表'!$M31</f>
        <v>0</v>
      </c>
      <c r="T33" s="122">
        <f>客服部最终提成计算表!$X35*0.15*0.8*0.05*'18年合同登记表'!Z31/'18年合同登记表'!$M31</f>
        <v>0</v>
      </c>
      <c r="U33" s="122">
        <f>客服部最终提成计算表!$X35*0.15*0.8*0.02*'18年合同登记表'!Z31/'18年合同登记表'!$M31</f>
        <v>0</v>
      </c>
      <c r="V33" s="122">
        <f>客服部最终提成计算表!$X35*0.15*0.8*0.85*'18年合同登记表'!AB31/'18年合同登记表'!$M31</f>
        <v>0</v>
      </c>
      <c r="W33" s="122">
        <f>客服部最终提成计算表!$X35*0.15*0.8*0.08*'18年合同登记表'!AB31/'18年合同登记表'!$M31</f>
        <v>0</v>
      </c>
      <c r="X33" s="122">
        <f>客服部最终提成计算表!$X35*0.15*0.8*0.05*'18年合同登记表'!AB31/'18年合同登记表'!$M31</f>
        <v>0</v>
      </c>
      <c r="Y33" s="122">
        <f>客服部最终提成计算表!$X35*0.15*0.8*0.02*'18年合同登记表'!AB31/'18年合同登记表'!$M31</f>
        <v>0</v>
      </c>
      <c r="Z33" s="122">
        <f>客服部最终提成计算表!$X35*0.15*0.8*0.85*'18年合同登记表'!AD31/'18年合同登记表'!$M31</f>
        <v>0</v>
      </c>
      <c r="AA33" s="122">
        <f>客服部最终提成计算表!$X35*0.15*0.8*0.08*'18年合同登记表'!AD31/'18年合同登记表'!$M31</f>
        <v>0</v>
      </c>
      <c r="AB33" s="122">
        <f>客服部最终提成计算表!$X35*0.15*0.8*0.05*'18年合同登记表'!AD31/'18年合同登记表'!$M31</f>
        <v>0</v>
      </c>
      <c r="AC33" s="122">
        <f>客服部最终提成计算表!$X35*0.15*0.8*0.02*'18年合同登记表'!AD31/'18年合同登记表'!$M31</f>
        <v>0</v>
      </c>
      <c r="AD33" s="122">
        <f>客服部最终提成计算表!$X35*0.15*0.8*0.85*'18年合同登记表'!AF31/'18年合同登记表'!$M31</f>
        <v>0</v>
      </c>
      <c r="AE33" s="122">
        <f>客服部最终提成计算表!$X35*0.15*0.8*0.08*'18年合同登记表'!AF31/'18年合同登记表'!$M31</f>
        <v>0</v>
      </c>
      <c r="AF33" s="122">
        <f>客服部最终提成计算表!$X35*0.15*0.8*0.05*'18年合同登记表'!AF31/'18年合同登记表'!$M31</f>
        <v>0</v>
      </c>
      <c r="AG33" s="122">
        <f>客服部最终提成计算表!$X35*0.15*0.8*0.02*'18年合同登记表'!AF31/'18年合同登记表'!$M31</f>
        <v>0</v>
      </c>
      <c r="AH33" s="122">
        <f>客服部最终提成计算表!$X35*0.15*0.8*0.85*'18年合同登记表'!AH31/'18年合同登记表'!$M31</f>
        <v>0</v>
      </c>
      <c r="AI33" s="122">
        <f>客服部最终提成计算表!$X35*0.15*0.8*0.08*'18年合同登记表'!AH31/'18年合同登记表'!$M31</f>
        <v>0</v>
      </c>
      <c r="AJ33" s="122">
        <f>客服部最终提成计算表!$X35*0.15*0.8*0.05*'18年合同登记表'!AH31/'18年合同登记表'!$M31</f>
        <v>0</v>
      </c>
      <c r="AK33" s="122">
        <f>客服部最终提成计算表!$X35*0.15*0.8*0.02*'18年合同登记表'!AH31/'18年合同登记表'!$M31</f>
        <v>0</v>
      </c>
      <c r="AL33" s="122">
        <f>客服部最终提成计算表!$X35*0.15*0.8*0.85*'18年合同登记表'!AJ31/'18年合同登记表'!$M31</f>
        <v>0</v>
      </c>
      <c r="AM33" s="122">
        <f>客服部最终提成计算表!$X35*0.15*0.8*0.08*'18年合同登记表'!AJ31/'18年合同登记表'!$M31</f>
        <v>0</v>
      </c>
      <c r="AN33" s="122">
        <f>客服部最终提成计算表!$X35*0.15*0.8*0.05*'18年合同登记表'!AJ31/'18年合同登记表'!$M31</f>
        <v>0</v>
      </c>
      <c r="AO33" s="122">
        <f>客服部最终提成计算表!$X35*0.15*0.8*0.02*'18年合同登记表'!AJ31/'18年合同登记表'!$M31</f>
        <v>0</v>
      </c>
      <c r="AP33" s="122">
        <f>客服部最终提成计算表!$X35*0.15*0.8*0.85*'18年合同登记表'!AL31/'18年合同登记表'!$M31</f>
        <v>0</v>
      </c>
      <c r="AQ33" s="122">
        <f>客服部最终提成计算表!$X35*0.15*0.8*0.08*'18年合同登记表'!AL31/'18年合同登记表'!$M31</f>
        <v>0</v>
      </c>
      <c r="AR33" s="122">
        <f>客服部最终提成计算表!$X35*0.15*0.8*0.05*'18年合同登记表'!AL31/'18年合同登记表'!$M31</f>
        <v>0</v>
      </c>
      <c r="AS33" s="122">
        <f>客服部最终提成计算表!$X35*0.15*0.8*0.02*'18年合同登记表'!AL31/'18年合同登记表'!$M31</f>
        <v>0</v>
      </c>
      <c r="AT33" s="122">
        <f>客服部最终提成计算表!$X35*0.15*0.8*0.85*'18年合同登记表'!AN31/'18年合同登记表'!$M31</f>
        <v>0</v>
      </c>
      <c r="AU33" s="122">
        <f>客服部最终提成计算表!$X35*0.15*0.8*0.08*'18年合同登记表'!AN31/'18年合同登记表'!$M31</f>
        <v>0</v>
      </c>
      <c r="AV33" s="122">
        <f>客服部最终提成计算表!$X35*0.15*0.8*0.05*'18年合同登记表'!AN31/'18年合同登记表'!$M31</f>
        <v>0</v>
      </c>
      <c r="AW33" s="122">
        <f>客服部最终提成计算表!$X35*0.15*0.8*0.02*'18年合同登记表'!AN31/'18年合同登记表'!$M31</f>
        <v>0</v>
      </c>
      <c r="AX33" s="122">
        <f>客服部最终提成计算表!$X35*0.15*0.8*0.85*'18年合同登记表'!AP31/'18年合同登记表'!$M31</f>
        <v>0</v>
      </c>
      <c r="AY33" s="122">
        <f>客服部最终提成计算表!$X35*0.15*0.8*0.08*'18年合同登记表'!AP31/'18年合同登记表'!$M31</f>
        <v>0</v>
      </c>
      <c r="AZ33" s="122">
        <f>客服部最终提成计算表!$X35*0.15*0.8*0.05*'18年合同登记表'!AP31/'18年合同登记表'!$M31</f>
        <v>0</v>
      </c>
      <c r="BA33" s="131">
        <f>客服部最终提成计算表!$X35*0.15*0.8*0.02*'18年合同登记表'!AP31/'18年合同登记表'!$M31</f>
        <v>0</v>
      </c>
    </row>
    <row r="34" s="104" customFormat="1" ht="14.25" spans="1:53">
      <c r="A34" s="117"/>
      <c r="B34" s="118" t="str">
        <f>'18年合同登记表'!F32</f>
        <v>中科华誉</v>
      </c>
      <c r="C34" s="119" t="str">
        <f>'18年合同登记表'!H32</f>
        <v>NH-20180227-Q-01-0-044</v>
      </c>
      <c r="D34" s="119" t="str">
        <f>'18年合同登记表'!I32</f>
        <v>机组维修</v>
      </c>
      <c r="E34" s="120" t="str">
        <f>'18年合同登记表'!L32</f>
        <v>李劲/</v>
      </c>
      <c r="F34" s="121">
        <f>客服部最终提成计算表!$X36*0.15*0.8*0.85*'18年合同登记表'!T32/'18年合同登记表'!$M32</f>
        <v>0</v>
      </c>
      <c r="G34" s="122">
        <f>客服部最终提成计算表!$X36*0.15*0.8*0.08*'18年合同登记表'!T32/'18年合同登记表'!$M32</f>
        <v>0</v>
      </c>
      <c r="H34" s="122">
        <f>客服部最终提成计算表!$X36*0.15*0.8*0.05*'18年合同登记表'!T32/'18年合同登记表'!$M32</f>
        <v>0</v>
      </c>
      <c r="I34" s="122">
        <f>客服部最终提成计算表!$X36*0.15*0.8*0.02*'18年合同登记表'!T32/'18年合同登记表'!$M32</f>
        <v>0</v>
      </c>
      <c r="J34" s="122">
        <f>客服部最终提成计算表!$X36*0.15*0.8*0.85*'18年合同登记表'!V32/'18年合同登记表'!$M32</f>
        <v>1224</v>
      </c>
      <c r="K34" s="122">
        <f>客服部最终提成计算表!$X36*0.15*0.8*0.08*'18年合同登记表'!V32/'18年合同登记表'!$M32</f>
        <v>115.2</v>
      </c>
      <c r="L34" s="122">
        <f>客服部最终提成计算表!$X36*0.15*0.8*0.05*'18年合同登记表'!V32/'18年合同登记表'!$M32</f>
        <v>72</v>
      </c>
      <c r="M34" s="122">
        <f>客服部最终提成计算表!$X36*0.15*0.8*0.02*'18年合同登记表'!V32/'18年合同登记表'!$M32</f>
        <v>28.8</v>
      </c>
      <c r="N34" s="122">
        <f>客服部最终提成计算表!$X36*0.15*0.8*0.85*'18年合同登记表'!X32/'18年合同登记表'!$M32</f>
        <v>0</v>
      </c>
      <c r="O34" s="122">
        <f>客服部最终提成计算表!$X36*0.15*0.8*0.08*'18年合同登记表'!X32/'18年合同登记表'!$M32</f>
        <v>0</v>
      </c>
      <c r="P34" s="122">
        <f>客服部最终提成计算表!$X36*0.15*0.8*0.05*'18年合同登记表'!X32/'18年合同登记表'!$M32</f>
        <v>0</v>
      </c>
      <c r="Q34" s="122">
        <f>客服部最终提成计算表!$X36*0.15*0.8*0.02*'18年合同登记表'!X32/'18年合同登记表'!$M32</f>
        <v>0</v>
      </c>
      <c r="R34" s="122">
        <f>客服部最终提成计算表!$X36*0.15*0.8*0.85*'18年合同登记表'!Z32/'18年合同登记表'!$M32</f>
        <v>0</v>
      </c>
      <c r="S34" s="122">
        <f>客服部最终提成计算表!$X36*0.15*0.8*0.08*'18年合同登记表'!Z32/'18年合同登记表'!$M32</f>
        <v>0</v>
      </c>
      <c r="T34" s="122">
        <f>客服部最终提成计算表!$X36*0.15*0.8*0.05*'18年合同登记表'!Z32/'18年合同登记表'!$M32</f>
        <v>0</v>
      </c>
      <c r="U34" s="122">
        <f>客服部最终提成计算表!$X36*0.15*0.8*0.02*'18年合同登记表'!Z32/'18年合同登记表'!$M32</f>
        <v>0</v>
      </c>
      <c r="V34" s="122">
        <f>客服部最终提成计算表!$X36*0.15*0.8*0.85*'18年合同登记表'!AB32/'18年合同登记表'!$M32</f>
        <v>0</v>
      </c>
      <c r="W34" s="122">
        <f>客服部最终提成计算表!$X36*0.15*0.8*0.08*'18年合同登记表'!AB32/'18年合同登记表'!$M32</f>
        <v>0</v>
      </c>
      <c r="X34" s="122">
        <f>客服部最终提成计算表!$X36*0.15*0.8*0.05*'18年合同登记表'!AB32/'18年合同登记表'!$M32</f>
        <v>0</v>
      </c>
      <c r="Y34" s="122">
        <f>客服部最终提成计算表!$X36*0.15*0.8*0.02*'18年合同登记表'!AB32/'18年合同登记表'!$M32</f>
        <v>0</v>
      </c>
      <c r="Z34" s="122">
        <f>客服部最终提成计算表!$X36*0.15*0.8*0.85*'18年合同登记表'!AD32/'18年合同登记表'!$M32</f>
        <v>0</v>
      </c>
      <c r="AA34" s="122">
        <f>客服部最终提成计算表!$X36*0.15*0.8*0.08*'18年合同登记表'!AD32/'18年合同登记表'!$M32</f>
        <v>0</v>
      </c>
      <c r="AB34" s="122">
        <f>客服部最终提成计算表!$X36*0.15*0.8*0.05*'18年合同登记表'!AD32/'18年合同登记表'!$M32</f>
        <v>0</v>
      </c>
      <c r="AC34" s="122">
        <f>客服部最终提成计算表!$X36*0.15*0.8*0.02*'18年合同登记表'!AD32/'18年合同登记表'!$M32</f>
        <v>0</v>
      </c>
      <c r="AD34" s="122">
        <f>客服部最终提成计算表!$X36*0.15*0.8*0.85*'18年合同登记表'!AF32/'18年合同登记表'!$M32</f>
        <v>0</v>
      </c>
      <c r="AE34" s="122">
        <f>客服部最终提成计算表!$X36*0.15*0.8*0.08*'18年合同登记表'!AF32/'18年合同登记表'!$M32</f>
        <v>0</v>
      </c>
      <c r="AF34" s="122">
        <f>客服部最终提成计算表!$X36*0.15*0.8*0.05*'18年合同登记表'!AF32/'18年合同登记表'!$M32</f>
        <v>0</v>
      </c>
      <c r="AG34" s="122">
        <f>客服部最终提成计算表!$X36*0.15*0.8*0.02*'18年合同登记表'!AF32/'18年合同登记表'!$M32</f>
        <v>0</v>
      </c>
      <c r="AH34" s="122">
        <f>客服部最终提成计算表!$X36*0.15*0.8*0.85*'18年合同登记表'!AH32/'18年合同登记表'!$M32</f>
        <v>0</v>
      </c>
      <c r="AI34" s="122">
        <f>客服部最终提成计算表!$X36*0.15*0.8*0.08*'18年合同登记表'!AH32/'18年合同登记表'!$M32</f>
        <v>0</v>
      </c>
      <c r="AJ34" s="122">
        <f>客服部最终提成计算表!$X36*0.15*0.8*0.05*'18年合同登记表'!AH32/'18年合同登记表'!$M32</f>
        <v>0</v>
      </c>
      <c r="AK34" s="122">
        <f>客服部最终提成计算表!$X36*0.15*0.8*0.02*'18年合同登记表'!AH32/'18年合同登记表'!$M32</f>
        <v>0</v>
      </c>
      <c r="AL34" s="122">
        <f>客服部最终提成计算表!$X36*0.15*0.8*0.85*'18年合同登记表'!AJ32/'18年合同登记表'!$M32</f>
        <v>0</v>
      </c>
      <c r="AM34" s="122">
        <f>客服部最终提成计算表!$X36*0.15*0.8*0.08*'18年合同登记表'!AJ32/'18年合同登记表'!$M32</f>
        <v>0</v>
      </c>
      <c r="AN34" s="122">
        <f>客服部最终提成计算表!$X36*0.15*0.8*0.05*'18年合同登记表'!AJ32/'18年合同登记表'!$M32</f>
        <v>0</v>
      </c>
      <c r="AO34" s="122">
        <f>客服部最终提成计算表!$X36*0.15*0.8*0.02*'18年合同登记表'!AJ32/'18年合同登记表'!$M32</f>
        <v>0</v>
      </c>
      <c r="AP34" s="122">
        <f>客服部最终提成计算表!$X36*0.15*0.8*0.85*'18年合同登记表'!AL32/'18年合同登记表'!$M32</f>
        <v>0</v>
      </c>
      <c r="AQ34" s="122">
        <f>客服部最终提成计算表!$X36*0.15*0.8*0.08*'18年合同登记表'!AL32/'18年合同登记表'!$M32</f>
        <v>0</v>
      </c>
      <c r="AR34" s="122">
        <f>客服部最终提成计算表!$X36*0.15*0.8*0.05*'18年合同登记表'!AL32/'18年合同登记表'!$M32</f>
        <v>0</v>
      </c>
      <c r="AS34" s="122">
        <f>客服部最终提成计算表!$X36*0.15*0.8*0.02*'18年合同登记表'!AL32/'18年合同登记表'!$M32</f>
        <v>0</v>
      </c>
      <c r="AT34" s="122">
        <f>客服部最终提成计算表!$X36*0.15*0.8*0.85*'18年合同登记表'!AN32/'18年合同登记表'!$M32</f>
        <v>0</v>
      </c>
      <c r="AU34" s="122">
        <f>客服部最终提成计算表!$X36*0.15*0.8*0.08*'18年合同登记表'!AN32/'18年合同登记表'!$M32</f>
        <v>0</v>
      </c>
      <c r="AV34" s="122">
        <f>客服部最终提成计算表!$X36*0.15*0.8*0.05*'18年合同登记表'!AN32/'18年合同登记表'!$M32</f>
        <v>0</v>
      </c>
      <c r="AW34" s="122">
        <f>客服部最终提成计算表!$X36*0.15*0.8*0.02*'18年合同登记表'!AN32/'18年合同登记表'!$M32</f>
        <v>0</v>
      </c>
      <c r="AX34" s="122">
        <f>客服部最终提成计算表!$X36*0.15*0.8*0.85*'18年合同登记表'!AP32/'18年合同登记表'!$M32</f>
        <v>0</v>
      </c>
      <c r="AY34" s="122">
        <f>客服部最终提成计算表!$X36*0.15*0.8*0.08*'18年合同登记表'!AP32/'18年合同登记表'!$M32</f>
        <v>0</v>
      </c>
      <c r="AZ34" s="122">
        <f>客服部最终提成计算表!$X36*0.15*0.8*0.05*'18年合同登记表'!AP32/'18年合同登记表'!$M32</f>
        <v>0</v>
      </c>
      <c r="BA34" s="131">
        <f>客服部最终提成计算表!$X36*0.15*0.8*0.02*'18年合同登记表'!AP32/'18年合同登记表'!$M32</f>
        <v>0</v>
      </c>
    </row>
    <row r="35" s="104" customFormat="1" ht="14.25" spans="1:53">
      <c r="A35" s="117"/>
      <c r="B35" s="118" t="str">
        <f>'18年合同登记表'!F33</f>
        <v>天津劝宝</v>
      </c>
      <c r="C35" s="119">
        <f>'18年合同登记表'!H33</f>
        <v>0</v>
      </c>
      <c r="D35" s="119" t="str">
        <f>'18年合同登记表'!I33</f>
        <v>合同能源管理项目</v>
      </c>
      <c r="E35" s="120" t="str">
        <f>'18年合同登记表'!L33</f>
        <v>王东</v>
      </c>
      <c r="F35" s="121">
        <f>客服部最终提成计算表!$X37*0.15*0.8*0.85*'18年合同登记表'!T33/'18年合同登记表'!$M33</f>
        <v>0</v>
      </c>
      <c r="G35" s="122">
        <f>客服部最终提成计算表!$X37*0.15*0.8*0.08*'18年合同登记表'!T33/'18年合同登记表'!$M33</f>
        <v>0</v>
      </c>
      <c r="H35" s="122">
        <f>客服部最终提成计算表!$X37*0.15*0.8*0.05*'18年合同登记表'!T33/'18年合同登记表'!$M33</f>
        <v>0</v>
      </c>
      <c r="I35" s="122">
        <f>客服部最终提成计算表!$X37*0.15*0.8*0.02*'18年合同登记表'!T33/'18年合同登记表'!$M33</f>
        <v>0</v>
      </c>
      <c r="J35" s="122">
        <f>客服部最终提成计算表!$X37*0.15*0.8*0.85*'18年合同登记表'!V33/'18年合同登记表'!$M33</f>
        <v>0</v>
      </c>
      <c r="K35" s="122">
        <f>客服部最终提成计算表!$X37*0.15*0.8*0.08*'18年合同登记表'!V33/'18年合同登记表'!$M33</f>
        <v>0</v>
      </c>
      <c r="L35" s="122">
        <f>客服部最终提成计算表!$X37*0.15*0.8*0.05*'18年合同登记表'!V33/'18年合同登记表'!$M33</f>
        <v>0</v>
      </c>
      <c r="M35" s="122">
        <f>客服部最终提成计算表!$X37*0.15*0.8*0.02*'18年合同登记表'!V33/'18年合同登记表'!$M33</f>
        <v>0</v>
      </c>
      <c r="N35" s="122">
        <f>客服部最终提成计算表!$X37*0.15*0.8*0.85*'18年合同登记表'!X33/'18年合同登记表'!$M33</f>
        <v>0</v>
      </c>
      <c r="O35" s="122">
        <f>客服部最终提成计算表!$X37*0.15*0.8*0.08*'18年合同登记表'!X33/'18年合同登记表'!$M33</f>
        <v>0</v>
      </c>
      <c r="P35" s="122">
        <f>客服部最终提成计算表!$X37*0.15*0.8*0.05*'18年合同登记表'!X33/'18年合同登记表'!$M33</f>
        <v>0</v>
      </c>
      <c r="Q35" s="122">
        <f>客服部最终提成计算表!$X37*0.15*0.8*0.02*'18年合同登记表'!X33/'18年合同登记表'!$M33</f>
        <v>0</v>
      </c>
      <c r="R35" s="122">
        <f>客服部最终提成计算表!$X37*0.15*0.8*0.85*'18年合同登记表'!Z33/'18年合同登记表'!$M33</f>
        <v>0</v>
      </c>
      <c r="S35" s="122">
        <f>客服部最终提成计算表!$X37*0.15*0.8*0.08*'18年合同登记表'!Z33/'18年合同登记表'!$M33</f>
        <v>0</v>
      </c>
      <c r="T35" s="122">
        <f>客服部最终提成计算表!$X37*0.15*0.8*0.05*'18年合同登记表'!Z33/'18年合同登记表'!$M33</f>
        <v>0</v>
      </c>
      <c r="U35" s="122">
        <f>客服部最终提成计算表!$X37*0.15*0.8*0.02*'18年合同登记表'!Z33/'18年合同登记表'!$M33</f>
        <v>0</v>
      </c>
      <c r="V35" s="122">
        <f>客服部最终提成计算表!$X37*0.15*0.8*0.85*'18年合同登记表'!AB33/'18年合同登记表'!$M33</f>
        <v>0</v>
      </c>
      <c r="W35" s="122">
        <f>客服部最终提成计算表!$X37*0.15*0.8*0.08*'18年合同登记表'!AB33/'18年合同登记表'!$M33</f>
        <v>0</v>
      </c>
      <c r="X35" s="122">
        <f>客服部最终提成计算表!$X37*0.15*0.8*0.05*'18年合同登记表'!AB33/'18年合同登记表'!$M33</f>
        <v>0</v>
      </c>
      <c r="Y35" s="122">
        <f>客服部最终提成计算表!$X37*0.15*0.8*0.02*'18年合同登记表'!AB33/'18年合同登记表'!$M33</f>
        <v>0</v>
      </c>
      <c r="Z35" s="122">
        <f>客服部最终提成计算表!$X37*0.15*0.8*0.85*'18年合同登记表'!AD33/'18年合同登记表'!$M33</f>
        <v>0</v>
      </c>
      <c r="AA35" s="122">
        <f>客服部最终提成计算表!$X37*0.15*0.8*0.08*'18年合同登记表'!AD33/'18年合同登记表'!$M33</f>
        <v>0</v>
      </c>
      <c r="AB35" s="122">
        <f>客服部最终提成计算表!$X37*0.15*0.8*0.05*'18年合同登记表'!AD33/'18年合同登记表'!$M33</f>
        <v>0</v>
      </c>
      <c r="AC35" s="122">
        <f>客服部最终提成计算表!$X37*0.15*0.8*0.02*'18年合同登记表'!AD33/'18年合同登记表'!$M33</f>
        <v>0</v>
      </c>
      <c r="AD35" s="122">
        <f>客服部最终提成计算表!$X37*0.15*0.8*0.85*'18年合同登记表'!AF33/'18年合同登记表'!$M33</f>
        <v>0</v>
      </c>
      <c r="AE35" s="122">
        <f>客服部最终提成计算表!$X37*0.15*0.8*0.08*'18年合同登记表'!AF33/'18年合同登记表'!$M33</f>
        <v>0</v>
      </c>
      <c r="AF35" s="122">
        <f>客服部最终提成计算表!$X37*0.15*0.8*0.05*'18年合同登记表'!AF33/'18年合同登记表'!$M33</f>
        <v>0</v>
      </c>
      <c r="AG35" s="122">
        <f>客服部最终提成计算表!$X37*0.15*0.8*0.02*'18年合同登记表'!AF33/'18年合同登记表'!$M33</f>
        <v>0</v>
      </c>
      <c r="AH35" s="122">
        <f>客服部最终提成计算表!$X37*0.15*0.8*0.85*'18年合同登记表'!AH33/'18年合同登记表'!$M33</f>
        <v>0</v>
      </c>
      <c r="AI35" s="122">
        <f>客服部最终提成计算表!$X37*0.15*0.8*0.08*'18年合同登记表'!AH33/'18年合同登记表'!$M33</f>
        <v>0</v>
      </c>
      <c r="AJ35" s="122">
        <f>客服部最终提成计算表!$X37*0.15*0.8*0.05*'18年合同登记表'!AH33/'18年合同登记表'!$M33</f>
        <v>0</v>
      </c>
      <c r="AK35" s="122">
        <f>客服部最终提成计算表!$X37*0.15*0.8*0.02*'18年合同登记表'!AH33/'18年合同登记表'!$M33</f>
        <v>0</v>
      </c>
      <c r="AL35" s="122">
        <f>客服部最终提成计算表!$X37*0.15*0.8*0.85*'18年合同登记表'!AJ33/'18年合同登记表'!$M33</f>
        <v>0</v>
      </c>
      <c r="AM35" s="122">
        <f>客服部最终提成计算表!$X37*0.15*0.8*0.08*'18年合同登记表'!AJ33/'18年合同登记表'!$M33</f>
        <v>0</v>
      </c>
      <c r="AN35" s="122">
        <f>客服部最终提成计算表!$X37*0.15*0.8*0.05*'18年合同登记表'!AJ33/'18年合同登记表'!$M33</f>
        <v>0</v>
      </c>
      <c r="AO35" s="122">
        <f>客服部最终提成计算表!$X37*0.15*0.8*0.02*'18年合同登记表'!AJ33/'18年合同登记表'!$M33</f>
        <v>0</v>
      </c>
      <c r="AP35" s="122">
        <f>客服部最终提成计算表!$X37*0.15*0.8*0.85*'18年合同登记表'!AL33/'18年合同登记表'!$M33</f>
        <v>0</v>
      </c>
      <c r="AQ35" s="122">
        <f>客服部最终提成计算表!$X37*0.15*0.8*0.08*'18年合同登记表'!AL33/'18年合同登记表'!$M33</f>
        <v>0</v>
      </c>
      <c r="AR35" s="122">
        <f>客服部最终提成计算表!$X37*0.15*0.8*0.05*'18年合同登记表'!AL33/'18年合同登记表'!$M33</f>
        <v>0</v>
      </c>
      <c r="AS35" s="122">
        <f>客服部最终提成计算表!$X37*0.15*0.8*0.02*'18年合同登记表'!AL33/'18年合同登记表'!$M33</f>
        <v>0</v>
      </c>
      <c r="AT35" s="122">
        <f>客服部最终提成计算表!$X37*0.15*0.8*0.85*'18年合同登记表'!AN33/'18年合同登记表'!$M33</f>
        <v>0</v>
      </c>
      <c r="AU35" s="122">
        <f>客服部最终提成计算表!$X37*0.15*0.8*0.08*'18年合同登记表'!AN33/'18年合同登记表'!$M33</f>
        <v>0</v>
      </c>
      <c r="AV35" s="122">
        <f>客服部最终提成计算表!$X37*0.15*0.8*0.05*'18年合同登记表'!AN33/'18年合同登记表'!$M33</f>
        <v>0</v>
      </c>
      <c r="AW35" s="122">
        <f>客服部最终提成计算表!$X37*0.15*0.8*0.02*'18年合同登记表'!AN33/'18年合同登记表'!$M33</f>
        <v>0</v>
      </c>
      <c r="AX35" s="122">
        <f>客服部最终提成计算表!$X37*0.15*0.8*0.85*'18年合同登记表'!AP33/'18年合同登记表'!$M33</f>
        <v>0</v>
      </c>
      <c r="AY35" s="122">
        <f>客服部最终提成计算表!$X37*0.15*0.8*0.08*'18年合同登记表'!AP33/'18年合同登记表'!$M33</f>
        <v>0</v>
      </c>
      <c r="AZ35" s="122">
        <f>客服部最终提成计算表!$X37*0.15*0.8*0.05*'18年合同登记表'!AP33/'18年合同登记表'!$M33</f>
        <v>0</v>
      </c>
      <c r="BA35" s="131">
        <f>客服部最终提成计算表!$X37*0.15*0.8*0.02*'18年合同登记表'!AP33/'18年合同登记表'!$M33</f>
        <v>0</v>
      </c>
    </row>
    <row r="36" s="104" customFormat="1" ht="14.25" spans="1:53">
      <c r="A36" s="117"/>
      <c r="B36" s="118" t="e">
        <f>'18年合同登记表'!#REF!</f>
        <v>#REF!</v>
      </c>
      <c r="C36" s="119" t="e">
        <f>'18年合同登记表'!#REF!</f>
        <v>#REF!</v>
      </c>
      <c r="D36" s="119" t="e">
        <f>'18年合同登记表'!#REF!</f>
        <v>#REF!</v>
      </c>
      <c r="E36" s="120" t="e">
        <f>'18年合同登记表'!#REF!</f>
        <v>#REF!</v>
      </c>
      <c r="F36" s="121" t="e">
        <f>客服部最终提成计算表!$X38*0.15*0.8*0.85*'18年合同登记表'!#REF!/'18年合同登记表'!#REF!</f>
        <v>#REF!</v>
      </c>
      <c r="G36" s="122" t="e">
        <f>客服部最终提成计算表!$X38*0.15*0.8*0.08*'18年合同登记表'!#REF!/'18年合同登记表'!#REF!</f>
        <v>#REF!</v>
      </c>
      <c r="H36" s="122" t="e">
        <f>客服部最终提成计算表!$X38*0.15*0.8*0.05*'18年合同登记表'!#REF!/'18年合同登记表'!#REF!</f>
        <v>#REF!</v>
      </c>
      <c r="I36" s="122" t="e">
        <f>客服部最终提成计算表!$X38*0.15*0.8*0.02*'18年合同登记表'!#REF!/'18年合同登记表'!#REF!</f>
        <v>#REF!</v>
      </c>
      <c r="J36" s="122" t="e">
        <f>客服部最终提成计算表!$X38*0.15*0.8*0.85*'18年合同登记表'!#REF!/'18年合同登记表'!#REF!</f>
        <v>#REF!</v>
      </c>
      <c r="K36" s="122" t="e">
        <f>客服部最终提成计算表!$X38*0.15*0.8*0.08*'18年合同登记表'!#REF!/'18年合同登记表'!#REF!</f>
        <v>#REF!</v>
      </c>
      <c r="L36" s="122" t="e">
        <f>客服部最终提成计算表!$X38*0.15*0.8*0.05*'18年合同登记表'!#REF!/'18年合同登记表'!#REF!</f>
        <v>#REF!</v>
      </c>
      <c r="M36" s="122" t="e">
        <f>客服部最终提成计算表!$X38*0.15*0.8*0.02*'18年合同登记表'!#REF!/'18年合同登记表'!#REF!</f>
        <v>#REF!</v>
      </c>
      <c r="N36" s="122" t="e">
        <f>客服部最终提成计算表!$X38*0.15*0.8*0.85*'18年合同登记表'!#REF!/'18年合同登记表'!#REF!</f>
        <v>#REF!</v>
      </c>
      <c r="O36" s="122" t="e">
        <f>客服部最终提成计算表!$X38*0.15*0.8*0.08*'18年合同登记表'!#REF!/'18年合同登记表'!#REF!</f>
        <v>#REF!</v>
      </c>
      <c r="P36" s="122" t="e">
        <f>客服部最终提成计算表!$X38*0.15*0.8*0.05*'18年合同登记表'!#REF!/'18年合同登记表'!#REF!</f>
        <v>#REF!</v>
      </c>
      <c r="Q36" s="122" t="e">
        <f>客服部最终提成计算表!$X38*0.15*0.8*0.02*'18年合同登记表'!#REF!/'18年合同登记表'!#REF!</f>
        <v>#REF!</v>
      </c>
      <c r="R36" s="122" t="e">
        <f>客服部最终提成计算表!$X38*0.15*0.8*0.85*'18年合同登记表'!#REF!/'18年合同登记表'!#REF!</f>
        <v>#REF!</v>
      </c>
      <c r="S36" s="122" t="e">
        <f>客服部最终提成计算表!$X38*0.15*0.8*0.08*'18年合同登记表'!#REF!/'18年合同登记表'!#REF!</f>
        <v>#REF!</v>
      </c>
      <c r="T36" s="122" t="e">
        <f>客服部最终提成计算表!$X38*0.15*0.8*0.05*'18年合同登记表'!#REF!/'18年合同登记表'!#REF!</f>
        <v>#REF!</v>
      </c>
      <c r="U36" s="122" t="e">
        <f>客服部最终提成计算表!$X38*0.15*0.8*0.02*'18年合同登记表'!#REF!/'18年合同登记表'!#REF!</f>
        <v>#REF!</v>
      </c>
      <c r="V36" s="122" t="e">
        <f>客服部最终提成计算表!$X38*0.15*0.8*0.85*'18年合同登记表'!#REF!/'18年合同登记表'!#REF!</f>
        <v>#REF!</v>
      </c>
      <c r="W36" s="122" t="e">
        <f>客服部最终提成计算表!$X38*0.15*0.8*0.08*'18年合同登记表'!#REF!/'18年合同登记表'!#REF!</f>
        <v>#REF!</v>
      </c>
      <c r="X36" s="122" t="e">
        <f>客服部最终提成计算表!$X38*0.15*0.8*0.05*'18年合同登记表'!#REF!/'18年合同登记表'!#REF!</f>
        <v>#REF!</v>
      </c>
      <c r="Y36" s="122" t="e">
        <f>客服部最终提成计算表!$X38*0.15*0.8*0.02*'18年合同登记表'!#REF!/'18年合同登记表'!#REF!</f>
        <v>#REF!</v>
      </c>
      <c r="Z36" s="122" t="e">
        <f>客服部最终提成计算表!$X38*0.15*0.8*0.85*'18年合同登记表'!#REF!/'18年合同登记表'!#REF!</f>
        <v>#REF!</v>
      </c>
      <c r="AA36" s="122" t="e">
        <f>客服部最终提成计算表!$X38*0.15*0.8*0.08*'18年合同登记表'!#REF!/'18年合同登记表'!#REF!</f>
        <v>#REF!</v>
      </c>
      <c r="AB36" s="122" t="e">
        <f>客服部最终提成计算表!$X38*0.15*0.8*0.05*'18年合同登记表'!#REF!/'18年合同登记表'!#REF!</f>
        <v>#REF!</v>
      </c>
      <c r="AC36" s="122" t="e">
        <f>客服部最终提成计算表!$X38*0.15*0.8*0.02*'18年合同登记表'!#REF!/'18年合同登记表'!#REF!</f>
        <v>#REF!</v>
      </c>
      <c r="AD36" s="122" t="e">
        <f>客服部最终提成计算表!$X38*0.15*0.8*0.85*'18年合同登记表'!#REF!/'18年合同登记表'!#REF!</f>
        <v>#REF!</v>
      </c>
      <c r="AE36" s="122" t="e">
        <f>客服部最终提成计算表!$X38*0.15*0.8*0.08*'18年合同登记表'!#REF!/'18年合同登记表'!#REF!</f>
        <v>#REF!</v>
      </c>
      <c r="AF36" s="122" t="e">
        <f>客服部最终提成计算表!$X38*0.15*0.8*0.05*'18年合同登记表'!#REF!/'18年合同登记表'!#REF!</f>
        <v>#REF!</v>
      </c>
      <c r="AG36" s="122" t="e">
        <f>客服部最终提成计算表!$X38*0.15*0.8*0.02*'18年合同登记表'!#REF!/'18年合同登记表'!#REF!</f>
        <v>#REF!</v>
      </c>
      <c r="AH36" s="122" t="e">
        <f>客服部最终提成计算表!$X38*0.15*0.8*0.85*'18年合同登记表'!#REF!/'18年合同登记表'!#REF!</f>
        <v>#REF!</v>
      </c>
      <c r="AI36" s="122" t="e">
        <f>客服部最终提成计算表!$X38*0.15*0.8*0.08*'18年合同登记表'!#REF!/'18年合同登记表'!#REF!</f>
        <v>#REF!</v>
      </c>
      <c r="AJ36" s="122" t="e">
        <f>客服部最终提成计算表!$X38*0.15*0.8*0.05*'18年合同登记表'!#REF!/'18年合同登记表'!#REF!</f>
        <v>#REF!</v>
      </c>
      <c r="AK36" s="122" t="e">
        <f>客服部最终提成计算表!$X38*0.15*0.8*0.02*'18年合同登记表'!#REF!/'18年合同登记表'!#REF!</f>
        <v>#REF!</v>
      </c>
      <c r="AL36" s="122" t="e">
        <f>客服部最终提成计算表!$X38*0.15*0.8*0.85*'18年合同登记表'!#REF!/'18年合同登记表'!#REF!</f>
        <v>#REF!</v>
      </c>
      <c r="AM36" s="122" t="e">
        <f>客服部最终提成计算表!$X38*0.15*0.8*0.08*'18年合同登记表'!#REF!/'18年合同登记表'!#REF!</f>
        <v>#REF!</v>
      </c>
      <c r="AN36" s="122" t="e">
        <f>客服部最终提成计算表!$X38*0.15*0.8*0.05*'18年合同登记表'!#REF!/'18年合同登记表'!#REF!</f>
        <v>#REF!</v>
      </c>
      <c r="AO36" s="122" t="e">
        <f>客服部最终提成计算表!$X38*0.15*0.8*0.02*'18年合同登记表'!#REF!/'18年合同登记表'!#REF!</f>
        <v>#REF!</v>
      </c>
      <c r="AP36" s="122" t="e">
        <f>客服部最终提成计算表!$X38*0.15*0.8*0.85*'18年合同登记表'!#REF!/'18年合同登记表'!#REF!</f>
        <v>#REF!</v>
      </c>
      <c r="AQ36" s="122" t="e">
        <f>客服部最终提成计算表!$X38*0.15*0.8*0.08*'18年合同登记表'!#REF!/'18年合同登记表'!#REF!</f>
        <v>#REF!</v>
      </c>
      <c r="AR36" s="122" t="e">
        <f>客服部最终提成计算表!$X38*0.15*0.8*0.05*'18年合同登记表'!#REF!/'18年合同登记表'!#REF!</f>
        <v>#REF!</v>
      </c>
      <c r="AS36" s="122" t="e">
        <f>客服部最终提成计算表!$X38*0.15*0.8*0.02*'18年合同登记表'!#REF!/'18年合同登记表'!#REF!</f>
        <v>#REF!</v>
      </c>
      <c r="AT36" s="122" t="e">
        <f>客服部最终提成计算表!$X38*0.15*0.8*0.85*'18年合同登记表'!#REF!/'18年合同登记表'!#REF!</f>
        <v>#REF!</v>
      </c>
      <c r="AU36" s="122" t="e">
        <f>客服部最终提成计算表!$X38*0.15*0.8*0.08*'18年合同登记表'!#REF!/'18年合同登记表'!#REF!</f>
        <v>#REF!</v>
      </c>
      <c r="AV36" s="122" t="e">
        <f>客服部最终提成计算表!$X38*0.15*0.8*0.05*'18年合同登记表'!#REF!/'18年合同登记表'!#REF!</f>
        <v>#REF!</v>
      </c>
      <c r="AW36" s="122" t="e">
        <f>客服部最终提成计算表!$X38*0.15*0.8*0.02*'18年合同登记表'!#REF!/'18年合同登记表'!#REF!</f>
        <v>#REF!</v>
      </c>
      <c r="AX36" s="122" t="e">
        <f>客服部最终提成计算表!$X38*0.15*0.8*0.85*'18年合同登记表'!#REF!/'18年合同登记表'!#REF!</f>
        <v>#REF!</v>
      </c>
      <c r="AY36" s="122" t="e">
        <f>客服部最终提成计算表!$X38*0.15*0.8*0.08*'18年合同登记表'!#REF!/'18年合同登记表'!#REF!</f>
        <v>#REF!</v>
      </c>
      <c r="AZ36" s="122" t="e">
        <f>客服部最终提成计算表!$X38*0.15*0.8*0.05*'18年合同登记表'!#REF!/'18年合同登记表'!#REF!</f>
        <v>#REF!</v>
      </c>
      <c r="BA36" s="131" t="e">
        <f>客服部最终提成计算表!$X38*0.15*0.8*0.02*'18年合同登记表'!#REF!/'18年合同登记表'!#REF!</f>
        <v>#REF!</v>
      </c>
    </row>
    <row r="37" s="104" customFormat="1" ht="14.25" spans="1:53">
      <c r="A37" s="117"/>
      <c r="B37" s="118" t="e">
        <f>'18年合同登记表'!#REF!</f>
        <v>#REF!</v>
      </c>
      <c r="C37" s="119" t="e">
        <f>'18年合同登记表'!#REF!</f>
        <v>#REF!</v>
      </c>
      <c r="D37" s="119" t="e">
        <f>'18年合同登记表'!#REF!</f>
        <v>#REF!</v>
      </c>
      <c r="E37" s="120" t="e">
        <f>'18年合同登记表'!#REF!</f>
        <v>#REF!</v>
      </c>
      <c r="F37" s="121" t="e">
        <f>客服部最终提成计算表!$X39*0.15*0.8*0.85*'18年合同登记表'!#REF!/'18年合同登记表'!#REF!</f>
        <v>#REF!</v>
      </c>
      <c r="G37" s="122" t="e">
        <f>客服部最终提成计算表!$X39*0.15*0.8*0.08*'18年合同登记表'!#REF!/'18年合同登记表'!#REF!</f>
        <v>#REF!</v>
      </c>
      <c r="H37" s="122" t="e">
        <f>客服部最终提成计算表!$X39*0.15*0.8*0.05*'18年合同登记表'!#REF!/'18年合同登记表'!#REF!</f>
        <v>#REF!</v>
      </c>
      <c r="I37" s="122" t="e">
        <f>客服部最终提成计算表!$X39*0.15*0.8*0.02*'18年合同登记表'!#REF!/'18年合同登记表'!#REF!</f>
        <v>#REF!</v>
      </c>
      <c r="J37" s="122" t="e">
        <f>客服部最终提成计算表!$X39*0.15*0.8*0.85*'18年合同登记表'!#REF!/'18年合同登记表'!#REF!</f>
        <v>#REF!</v>
      </c>
      <c r="K37" s="122" t="e">
        <f>客服部最终提成计算表!$X39*0.15*0.8*0.08*'18年合同登记表'!#REF!/'18年合同登记表'!#REF!</f>
        <v>#REF!</v>
      </c>
      <c r="L37" s="122" t="e">
        <f>客服部最终提成计算表!$X39*0.15*0.8*0.05*'18年合同登记表'!#REF!/'18年合同登记表'!#REF!</f>
        <v>#REF!</v>
      </c>
      <c r="M37" s="122" t="e">
        <f>客服部最终提成计算表!$X39*0.15*0.8*0.02*'18年合同登记表'!#REF!/'18年合同登记表'!#REF!</f>
        <v>#REF!</v>
      </c>
      <c r="N37" s="122" t="e">
        <f>客服部最终提成计算表!$X39*0.15*0.8*0.85*'18年合同登记表'!#REF!/'18年合同登记表'!#REF!</f>
        <v>#REF!</v>
      </c>
      <c r="O37" s="122" t="e">
        <f>客服部最终提成计算表!$X39*0.15*0.8*0.08*'18年合同登记表'!#REF!/'18年合同登记表'!#REF!</f>
        <v>#REF!</v>
      </c>
      <c r="P37" s="122" t="e">
        <f>客服部最终提成计算表!$X39*0.15*0.8*0.05*'18年合同登记表'!#REF!/'18年合同登记表'!#REF!</f>
        <v>#REF!</v>
      </c>
      <c r="Q37" s="122" t="e">
        <f>客服部最终提成计算表!$X39*0.15*0.8*0.02*'18年合同登记表'!#REF!/'18年合同登记表'!#REF!</f>
        <v>#REF!</v>
      </c>
      <c r="R37" s="122" t="e">
        <f>客服部最终提成计算表!$X39*0.15*0.8*0.85*'18年合同登记表'!#REF!/'18年合同登记表'!#REF!</f>
        <v>#REF!</v>
      </c>
      <c r="S37" s="122" t="e">
        <f>客服部最终提成计算表!$X39*0.15*0.8*0.08*'18年合同登记表'!#REF!/'18年合同登记表'!#REF!</f>
        <v>#REF!</v>
      </c>
      <c r="T37" s="122" t="e">
        <f>客服部最终提成计算表!$X39*0.15*0.8*0.05*'18年合同登记表'!#REF!/'18年合同登记表'!#REF!</f>
        <v>#REF!</v>
      </c>
      <c r="U37" s="122" t="e">
        <f>客服部最终提成计算表!$X39*0.15*0.8*0.02*'18年合同登记表'!#REF!/'18年合同登记表'!#REF!</f>
        <v>#REF!</v>
      </c>
      <c r="V37" s="122" t="e">
        <f>客服部最终提成计算表!$X39*0.15*0.8*0.85*'18年合同登记表'!#REF!/'18年合同登记表'!#REF!</f>
        <v>#REF!</v>
      </c>
      <c r="W37" s="122" t="e">
        <f>客服部最终提成计算表!$X39*0.15*0.8*0.08*'18年合同登记表'!#REF!/'18年合同登记表'!#REF!</f>
        <v>#REF!</v>
      </c>
      <c r="X37" s="122" t="e">
        <f>客服部最终提成计算表!$X39*0.15*0.8*0.05*'18年合同登记表'!#REF!/'18年合同登记表'!#REF!</f>
        <v>#REF!</v>
      </c>
      <c r="Y37" s="122" t="e">
        <f>客服部最终提成计算表!$X39*0.15*0.8*0.02*'18年合同登记表'!#REF!/'18年合同登记表'!#REF!</f>
        <v>#REF!</v>
      </c>
      <c r="Z37" s="122" t="e">
        <f>客服部最终提成计算表!$X39*0.15*0.8*0.85*'18年合同登记表'!#REF!/'18年合同登记表'!#REF!</f>
        <v>#REF!</v>
      </c>
      <c r="AA37" s="122" t="e">
        <f>客服部最终提成计算表!$X39*0.15*0.8*0.08*'18年合同登记表'!#REF!/'18年合同登记表'!#REF!</f>
        <v>#REF!</v>
      </c>
      <c r="AB37" s="122" t="e">
        <f>客服部最终提成计算表!$X39*0.15*0.8*0.05*'18年合同登记表'!#REF!/'18年合同登记表'!#REF!</f>
        <v>#REF!</v>
      </c>
      <c r="AC37" s="122" t="e">
        <f>客服部最终提成计算表!$X39*0.15*0.8*0.02*'18年合同登记表'!#REF!/'18年合同登记表'!#REF!</f>
        <v>#REF!</v>
      </c>
      <c r="AD37" s="122" t="e">
        <f>客服部最终提成计算表!$X39*0.15*0.8*0.85*'18年合同登记表'!#REF!/'18年合同登记表'!#REF!</f>
        <v>#REF!</v>
      </c>
      <c r="AE37" s="122" t="e">
        <f>客服部最终提成计算表!$X39*0.15*0.8*0.08*'18年合同登记表'!#REF!/'18年合同登记表'!#REF!</f>
        <v>#REF!</v>
      </c>
      <c r="AF37" s="122" t="e">
        <f>客服部最终提成计算表!$X39*0.15*0.8*0.05*'18年合同登记表'!#REF!/'18年合同登记表'!#REF!</f>
        <v>#REF!</v>
      </c>
      <c r="AG37" s="122" t="e">
        <f>客服部最终提成计算表!$X39*0.15*0.8*0.02*'18年合同登记表'!#REF!/'18年合同登记表'!#REF!</f>
        <v>#REF!</v>
      </c>
      <c r="AH37" s="122" t="e">
        <f>客服部最终提成计算表!$X39*0.15*0.8*0.85*'18年合同登记表'!#REF!/'18年合同登记表'!#REF!</f>
        <v>#REF!</v>
      </c>
      <c r="AI37" s="122" t="e">
        <f>客服部最终提成计算表!$X39*0.15*0.8*0.08*'18年合同登记表'!#REF!/'18年合同登记表'!#REF!</f>
        <v>#REF!</v>
      </c>
      <c r="AJ37" s="122" t="e">
        <f>客服部最终提成计算表!$X39*0.15*0.8*0.05*'18年合同登记表'!#REF!/'18年合同登记表'!#REF!</f>
        <v>#REF!</v>
      </c>
      <c r="AK37" s="122" t="e">
        <f>客服部最终提成计算表!$X39*0.15*0.8*0.02*'18年合同登记表'!#REF!/'18年合同登记表'!#REF!</f>
        <v>#REF!</v>
      </c>
      <c r="AL37" s="122" t="e">
        <f>客服部最终提成计算表!$X39*0.15*0.8*0.85*'18年合同登记表'!#REF!/'18年合同登记表'!#REF!</f>
        <v>#REF!</v>
      </c>
      <c r="AM37" s="122" t="e">
        <f>客服部最终提成计算表!$X39*0.15*0.8*0.08*'18年合同登记表'!#REF!/'18年合同登记表'!#REF!</f>
        <v>#REF!</v>
      </c>
      <c r="AN37" s="122" t="e">
        <f>客服部最终提成计算表!$X39*0.15*0.8*0.05*'18年合同登记表'!#REF!/'18年合同登记表'!#REF!</f>
        <v>#REF!</v>
      </c>
      <c r="AO37" s="122" t="e">
        <f>客服部最终提成计算表!$X39*0.15*0.8*0.02*'18年合同登记表'!#REF!/'18年合同登记表'!#REF!</f>
        <v>#REF!</v>
      </c>
      <c r="AP37" s="122" t="e">
        <f>客服部最终提成计算表!$X39*0.15*0.8*0.85*'18年合同登记表'!#REF!/'18年合同登记表'!#REF!</f>
        <v>#REF!</v>
      </c>
      <c r="AQ37" s="122" t="e">
        <f>客服部最终提成计算表!$X39*0.15*0.8*0.08*'18年合同登记表'!#REF!/'18年合同登记表'!#REF!</f>
        <v>#REF!</v>
      </c>
      <c r="AR37" s="122" t="e">
        <f>客服部最终提成计算表!$X39*0.15*0.8*0.05*'18年合同登记表'!#REF!/'18年合同登记表'!#REF!</f>
        <v>#REF!</v>
      </c>
      <c r="AS37" s="122" t="e">
        <f>客服部最终提成计算表!$X39*0.15*0.8*0.02*'18年合同登记表'!#REF!/'18年合同登记表'!#REF!</f>
        <v>#REF!</v>
      </c>
      <c r="AT37" s="122" t="e">
        <f>客服部最终提成计算表!$X39*0.15*0.8*0.85*'18年合同登记表'!#REF!/'18年合同登记表'!#REF!</f>
        <v>#REF!</v>
      </c>
      <c r="AU37" s="122" t="e">
        <f>客服部最终提成计算表!$X39*0.15*0.8*0.08*'18年合同登记表'!#REF!/'18年合同登记表'!#REF!</f>
        <v>#REF!</v>
      </c>
      <c r="AV37" s="122" t="e">
        <f>客服部最终提成计算表!$X39*0.15*0.8*0.05*'18年合同登记表'!#REF!/'18年合同登记表'!#REF!</f>
        <v>#REF!</v>
      </c>
      <c r="AW37" s="122" t="e">
        <f>客服部最终提成计算表!$X39*0.15*0.8*0.02*'18年合同登记表'!#REF!/'18年合同登记表'!#REF!</f>
        <v>#REF!</v>
      </c>
      <c r="AX37" s="122" t="e">
        <f>客服部最终提成计算表!$X39*0.15*0.8*0.85*'18年合同登记表'!#REF!/'18年合同登记表'!#REF!</f>
        <v>#REF!</v>
      </c>
      <c r="AY37" s="122" t="e">
        <f>客服部最终提成计算表!$X39*0.15*0.8*0.08*'18年合同登记表'!#REF!/'18年合同登记表'!#REF!</f>
        <v>#REF!</v>
      </c>
      <c r="AZ37" s="122" t="e">
        <f>客服部最终提成计算表!$X39*0.15*0.8*0.05*'18年合同登记表'!#REF!/'18年合同登记表'!#REF!</f>
        <v>#REF!</v>
      </c>
      <c r="BA37" s="131" t="e">
        <f>客服部最终提成计算表!$X39*0.15*0.8*0.02*'18年合同登记表'!#REF!/'18年合同登记表'!#REF!</f>
        <v>#REF!</v>
      </c>
    </row>
    <row r="38" s="104" customFormat="1" ht="14.25" spans="1:53">
      <c r="A38" s="117"/>
      <c r="B38" s="118" t="e">
        <f>'18年合同登记表'!#REF!</f>
        <v>#REF!</v>
      </c>
      <c r="C38" s="119" t="e">
        <f>'18年合同登记表'!#REF!</f>
        <v>#REF!</v>
      </c>
      <c r="D38" s="119" t="e">
        <f>'18年合同登记表'!#REF!</f>
        <v>#REF!</v>
      </c>
      <c r="E38" s="120" t="e">
        <f>'18年合同登记表'!#REF!</f>
        <v>#REF!</v>
      </c>
      <c r="F38" s="121" t="e">
        <f>客服部最终提成计算表!$X40*0.15*0.8*0.85*'18年合同登记表'!#REF!/'18年合同登记表'!#REF!</f>
        <v>#REF!</v>
      </c>
      <c r="G38" s="122" t="e">
        <f>客服部最终提成计算表!$X40*0.15*0.8*0.08*'18年合同登记表'!#REF!/'18年合同登记表'!#REF!</f>
        <v>#REF!</v>
      </c>
      <c r="H38" s="122" t="e">
        <f>客服部最终提成计算表!$X40*0.15*0.8*0.05*'18年合同登记表'!#REF!/'18年合同登记表'!#REF!</f>
        <v>#REF!</v>
      </c>
      <c r="I38" s="122" t="e">
        <f>客服部最终提成计算表!$X40*0.15*0.8*0.02*'18年合同登记表'!#REF!/'18年合同登记表'!#REF!</f>
        <v>#REF!</v>
      </c>
      <c r="J38" s="122" t="e">
        <f>客服部最终提成计算表!$X40*0.15*0.8*0.85*'18年合同登记表'!#REF!/'18年合同登记表'!#REF!</f>
        <v>#REF!</v>
      </c>
      <c r="K38" s="122" t="e">
        <f>客服部最终提成计算表!$X40*0.15*0.8*0.08*'18年合同登记表'!#REF!/'18年合同登记表'!#REF!</f>
        <v>#REF!</v>
      </c>
      <c r="L38" s="122" t="e">
        <f>客服部最终提成计算表!$X40*0.15*0.8*0.05*'18年合同登记表'!#REF!/'18年合同登记表'!#REF!</f>
        <v>#REF!</v>
      </c>
      <c r="M38" s="122" t="e">
        <f>客服部最终提成计算表!$X40*0.15*0.8*0.02*'18年合同登记表'!#REF!/'18年合同登记表'!#REF!</f>
        <v>#REF!</v>
      </c>
      <c r="N38" s="122" t="e">
        <f>客服部最终提成计算表!$X40*0.15*0.8*0.85*'18年合同登记表'!#REF!/'18年合同登记表'!#REF!</f>
        <v>#REF!</v>
      </c>
      <c r="O38" s="122" t="e">
        <f>客服部最终提成计算表!$X40*0.15*0.8*0.08*'18年合同登记表'!#REF!/'18年合同登记表'!#REF!</f>
        <v>#REF!</v>
      </c>
      <c r="P38" s="122" t="e">
        <f>客服部最终提成计算表!$X40*0.15*0.8*0.05*'18年合同登记表'!#REF!/'18年合同登记表'!#REF!</f>
        <v>#REF!</v>
      </c>
      <c r="Q38" s="122" t="e">
        <f>客服部最终提成计算表!$X40*0.15*0.8*0.02*'18年合同登记表'!#REF!/'18年合同登记表'!#REF!</f>
        <v>#REF!</v>
      </c>
      <c r="R38" s="122" t="e">
        <f>客服部最终提成计算表!$X40*0.15*0.8*0.85*'18年合同登记表'!#REF!/'18年合同登记表'!#REF!</f>
        <v>#REF!</v>
      </c>
      <c r="S38" s="122" t="e">
        <f>客服部最终提成计算表!$X40*0.15*0.8*0.08*'18年合同登记表'!#REF!/'18年合同登记表'!#REF!</f>
        <v>#REF!</v>
      </c>
      <c r="T38" s="122" t="e">
        <f>客服部最终提成计算表!$X40*0.15*0.8*0.05*'18年合同登记表'!#REF!/'18年合同登记表'!#REF!</f>
        <v>#REF!</v>
      </c>
      <c r="U38" s="122" t="e">
        <f>客服部最终提成计算表!$X40*0.15*0.8*0.02*'18年合同登记表'!#REF!/'18年合同登记表'!#REF!</f>
        <v>#REF!</v>
      </c>
      <c r="V38" s="122" t="e">
        <f>客服部最终提成计算表!$X40*0.15*0.8*0.85*'18年合同登记表'!#REF!/'18年合同登记表'!#REF!</f>
        <v>#REF!</v>
      </c>
      <c r="W38" s="122" t="e">
        <f>客服部最终提成计算表!$X40*0.15*0.8*0.08*'18年合同登记表'!#REF!/'18年合同登记表'!#REF!</f>
        <v>#REF!</v>
      </c>
      <c r="X38" s="122" t="e">
        <f>客服部最终提成计算表!$X40*0.15*0.8*0.05*'18年合同登记表'!#REF!/'18年合同登记表'!#REF!</f>
        <v>#REF!</v>
      </c>
      <c r="Y38" s="122" t="e">
        <f>客服部最终提成计算表!$X40*0.15*0.8*0.02*'18年合同登记表'!#REF!/'18年合同登记表'!#REF!</f>
        <v>#REF!</v>
      </c>
      <c r="Z38" s="122" t="e">
        <f>客服部最终提成计算表!$X40*0.15*0.8*0.85*'18年合同登记表'!#REF!/'18年合同登记表'!#REF!</f>
        <v>#REF!</v>
      </c>
      <c r="AA38" s="122" t="e">
        <f>客服部最终提成计算表!$X40*0.15*0.8*0.08*'18年合同登记表'!#REF!/'18年合同登记表'!#REF!</f>
        <v>#REF!</v>
      </c>
      <c r="AB38" s="122" t="e">
        <f>客服部最终提成计算表!$X40*0.15*0.8*0.05*'18年合同登记表'!#REF!/'18年合同登记表'!#REF!</f>
        <v>#REF!</v>
      </c>
      <c r="AC38" s="122" t="e">
        <f>客服部最终提成计算表!$X40*0.15*0.8*0.02*'18年合同登记表'!#REF!/'18年合同登记表'!#REF!</f>
        <v>#REF!</v>
      </c>
      <c r="AD38" s="122" t="e">
        <f>客服部最终提成计算表!$X40*0.15*0.8*0.85*'18年合同登记表'!#REF!/'18年合同登记表'!#REF!</f>
        <v>#REF!</v>
      </c>
      <c r="AE38" s="122" t="e">
        <f>客服部最终提成计算表!$X40*0.15*0.8*0.08*'18年合同登记表'!#REF!/'18年合同登记表'!#REF!</f>
        <v>#REF!</v>
      </c>
      <c r="AF38" s="122" t="e">
        <f>客服部最终提成计算表!$X40*0.15*0.8*0.05*'18年合同登记表'!#REF!/'18年合同登记表'!#REF!</f>
        <v>#REF!</v>
      </c>
      <c r="AG38" s="122" t="e">
        <f>客服部最终提成计算表!$X40*0.15*0.8*0.02*'18年合同登记表'!#REF!/'18年合同登记表'!#REF!</f>
        <v>#REF!</v>
      </c>
      <c r="AH38" s="122" t="e">
        <f>客服部最终提成计算表!$X40*0.15*0.8*0.85*'18年合同登记表'!#REF!/'18年合同登记表'!#REF!</f>
        <v>#REF!</v>
      </c>
      <c r="AI38" s="122" t="e">
        <f>客服部最终提成计算表!$X40*0.15*0.8*0.08*'18年合同登记表'!#REF!/'18年合同登记表'!#REF!</f>
        <v>#REF!</v>
      </c>
      <c r="AJ38" s="122" t="e">
        <f>客服部最终提成计算表!$X40*0.15*0.8*0.05*'18年合同登记表'!#REF!/'18年合同登记表'!#REF!</f>
        <v>#REF!</v>
      </c>
      <c r="AK38" s="122" t="e">
        <f>客服部最终提成计算表!$X40*0.15*0.8*0.02*'18年合同登记表'!#REF!/'18年合同登记表'!#REF!</f>
        <v>#REF!</v>
      </c>
      <c r="AL38" s="122" t="e">
        <f>客服部最终提成计算表!$X40*0.15*0.8*0.85*'18年合同登记表'!#REF!/'18年合同登记表'!#REF!</f>
        <v>#REF!</v>
      </c>
      <c r="AM38" s="122" t="e">
        <f>客服部最终提成计算表!$X40*0.15*0.8*0.08*'18年合同登记表'!#REF!/'18年合同登记表'!#REF!</f>
        <v>#REF!</v>
      </c>
      <c r="AN38" s="122" t="e">
        <f>客服部最终提成计算表!$X40*0.15*0.8*0.05*'18年合同登记表'!#REF!/'18年合同登记表'!#REF!</f>
        <v>#REF!</v>
      </c>
      <c r="AO38" s="122" t="e">
        <f>客服部最终提成计算表!$X40*0.15*0.8*0.02*'18年合同登记表'!#REF!/'18年合同登记表'!#REF!</f>
        <v>#REF!</v>
      </c>
      <c r="AP38" s="122" t="e">
        <f>客服部最终提成计算表!$X40*0.15*0.8*0.85*'18年合同登记表'!#REF!/'18年合同登记表'!#REF!</f>
        <v>#REF!</v>
      </c>
      <c r="AQ38" s="122" t="e">
        <f>客服部最终提成计算表!$X40*0.15*0.8*0.08*'18年合同登记表'!#REF!/'18年合同登记表'!#REF!</f>
        <v>#REF!</v>
      </c>
      <c r="AR38" s="122" t="e">
        <f>客服部最终提成计算表!$X40*0.15*0.8*0.05*'18年合同登记表'!#REF!/'18年合同登记表'!#REF!</f>
        <v>#REF!</v>
      </c>
      <c r="AS38" s="122" t="e">
        <f>客服部最终提成计算表!$X40*0.15*0.8*0.02*'18年合同登记表'!#REF!/'18年合同登记表'!#REF!</f>
        <v>#REF!</v>
      </c>
      <c r="AT38" s="122" t="e">
        <f>客服部最终提成计算表!$X40*0.15*0.8*0.85*'18年合同登记表'!#REF!/'18年合同登记表'!#REF!</f>
        <v>#REF!</v>
      </c>
      <c r="AU38" s="122" t="e">
        <f>客服部最终提成计算表!$X40*0.15*0.8*0.08*'18年合同登记表'!#REF!/'18年合同登记表'!#REF!</f>
        <v>#REF!</v>
      </c>
      <c r="AV38" s="122" t="e">
        <f>客服部最终提成计算表!$X40*0.15*0.8*0.05*'18年合同登记表'!#REF!/'18年合同登记表'!#REF!</f>
        <v>#REF!</v>
      </c>
      <c r="AW38" s="122" t="e">
        <f>客服部最终提成计算表!$X40*0.15*0.8*0.02*'18年合同登记表'!#REF!/'18年合同登记表'!#REF!</f>
        <v>#REF!</v>
      </c>
      <c r="AX38" s="122" t="e">
        <f>客服部最终提成计算表!$X40*0.15*0.8*0.85*'18年合同登记表'!#REF!/'18年合同登记表'!#REF!</f>
        <v>#REF!</v>
      </c>
      <c r="AY38" s="122" t="e">
        <f>客服部最终提成计算表!$X40*0.15*0.8*0.08*'18年合同登记表'!#REF!/'18年合同登记表'!#REF!</f>
        <v>#REF!</v>
      </c>
      <c r="AZ38" s="122" t="e">
        <f>客服部最终提成计算表!$X40*0.15*0.8*0.05*'18年合同登记表'!#REF!/'18年合同登记表'!#REF!</f>
        <v>#REF!</v>
      </c>
      <c r="BA38" s="131" t="e">
        <f>客服部最终提成计算表!$X40*0.15*0.8*0.02*'18年合同登记表'!#REF!/'18年合同登记表'!#REF!</f>
        <v>#REF!</v>
      </c>
    </row>
    <row r="39" s="104" customFormat="1" ht="14.25" spans="1:53">
      <c r="A39" s="117"/>
      <c r="B39" s="118" t="e">
        <f>'18年合同登记表'!#REF!</f>
        <v>#REF!</v>
      </c>
      <c r="C39" s="119" t="e">
        <f>'18年合同登记表'!#REF!</f>
        <v>#REF!</v>
      </c>
      <c r="D39" s="119" t="e">
        <f>'18年合同登记表'!#REF!</f>
        <v>#REF!</v>
      </c>
      <c r="E39" s="120" t="e">
        <f>'18年合同登记表'!#REF!</f>
        <v>#REF!</v>
      </c>
      <c r="F39" s="121" t="e">
        <f>客服部最终提成计算表!$X41*0.15*0.8*0.85*'18年合同登记表'!#REF!/'18年合同登记表'!#REF!</f>
        <v>#REF!</v>
      </c>
      <c r="G39" s="122" t="e">
        <f>客服部最终提成计算表!$X41*0.15*0.8*0.08*'18年合同登记表'!#REF!/'18年合同登记表'!#REF!</f>
        <v>#REF!</v>
      </c>
      <c r="H39" s="122" t="e">
        <f>客服部最终提成计算表!$X41*0.15*0.8*0.05*'18年合同登记表'!#REF!/'18年合同登记表'!#REF!</f>
        <v>#REF!</v>
      </c>
      <c r="I39" s="122" t="e">
        <f>客服部最终提成计算表!$X41*0.15*0.8*0.02*'18年合同登记表'!#REF!/'18年合同登记表'!#REF!</f>
        <v>#REF!</v>
      </c>
      <c r="J39" s="122" t="e">
        <f>客服部最终提成计算表!$X41*0.15*0.8*0.85*'18年合同登记表'!#REF!/'18年合同登记表'!#REF!</f>
        <v>#REF!</v>
      </c>
      <c r="K39" s="122" t="e">
        <f>客服部最终提成计算表!$X41*0.15*0.8*0.08*'18年合同登记表'!#REF!/'18年合同登记表'!#REF!</f>
        <v>#REF!</v>
      </c>
      <c r="L39" s="122" t="e">
        <f>客服部最终提成计算表!$X41*0.15*0.8*0.05*'18年合同登记表'!#REF!/'18年合同登记表'!#REF!</f>
        <v>#REF!</v>
      </c>
      <c r="M39" s="122" t="e">
        <f>客服部最终提成计算表!$X41*0.15*0.8*0.02*'18年合同登记表'!#REF!/'18年合同登记表'!#REF!</f>
        <v>#REF!</v>
      </c>
      <c r="N39" s="122" t="e">
        <f>客服部最终提成计算表!$X41*0.15*0.8*0.85*'18年合同登记表'!#REF!/'18年合同登记表'!#REF!</f>
        <v>#REF!</v>
      </c>
      <c r="O39" s="122" t="e">
        <f>客服部最终提成计算表!$X41*0.15*0.8*0.08*'18年合同登记表'!#REF!/'18年合同登记表'!#REF!</f>
        <v>#REF!</v>
      </c>
      <c r="P39" s="122" t="e">
        <f>客服部最终提成计算表!$X41*0.15*0.8*0.05*'18年合同登记表'!#REF!/'18年合同登记表'!#REF!</f>
        <v>#REF!</v>
      </c>
      <c r="Q39" s="122" t="e">
        <f>客服部最终提成计算表!$X41*0.15*0.8*0.02*'18年合同登记表'!#REF!/'18年合同登记表'!#REF!</f>
        <v>#REF!</v>
      </c>
      <c r="R39" s="122" t="e">
        <f>客服部最终提成计算表!$X41*0.15*0.8*0.85*'18年合同登记表'!#REF!/'18年合同登记表'!#REF!</f>
        <v>#REF!</v>
      </c>
      <c r="S39" s="122" t="e">
        <f>客服部最终提成计算表!$X41*0.15*0.8*0.08*'18年合同登记表'!#REF!/'18年合同登记表'!#REF!</f>
        <v>#REF!</v>
      </c>
      <c r="T39" s="122" t="e">
        <f>客服部最终提成计算表!$X41*0.15*0.8*0.05*'18年合同登记表'!#REF!/'18年合同登记表'!#REF!</f>
        <v>#REF!</v>
      </c>
      <c r="U39" s="122" t="e">
        <f>客服部最终提成计算表!$X41*0.15*0.8*0.02*'18年合同登记表'!#REF!/'18年合同登记表'!#REF!</f>
        <v>#REF!</v>
      </c>
      <c r="V39" s="122" t="e">
        <f>客服部最终提成计算表!$X41*0.15*0.8*0.85*'18年合同登记表'!#REF!/'18年合同登记表'!#REF!</f>
        <v>#REF!</v>
      </c>
      <c r="W39" s="122" t="e">
        <f>客服部最终提成计算表!$X41*0.15*0.8*0.08*'18年合同登记表'!#REF!/'18年合同登记表'!#REF!</f>
        <v>#REF!</v>
      </c>
      <c r="X39" s="122" t="e">
        <f>客服部最终提成计算表!$X41*0.15*0.8*0.05*'18年合同登记表'!#REF!/'18年合同登记表'!#REF!</f>
        <v>#REF!</v>
      </c>
      <c r="Y39" s="122" t="e">
        <f>客服部最终提成计算表!$X41*0.15*0.8*0.02*'18年合同登记表'!#REF!/'18年合同登记表'!#REF!</f>
        <v>#REF!</v>
      </c>
      <c r="Z39" s="122" t="e">
        <f>客服部最终提成计算表!$X41*0.15*0.8*0.85*'18年合同登记表'!#REF!/'18年合同登记表'!#REF!</f>
        <v>#REF!</v>
      </c>
      <c r="AA39" s="122" t="e">
        <f>客服部最终提成计算表!$X41*0.15*0.8*0.08*'18年合同登记表'!#REF!/'18年合同登记表'!#REF!</f>
        <v>#REF!</v>
      </c>
      <c r="AB39" s="122" t="e">
        <f>客服部最终提成计算表!$X41*0.15*0.8*0.05*'18年合同登记表'!#REF!/'18年合同登记表'!#REF!</f>
        <v>#REF!</v>
      </c>
      <c r="AC39" s="122" t="e">
        <f>客服部最终提成计算表!$X41*0.15*0.8*0.02*'18年合同登记表'!#REF!/'18年合同登记表'!#REF!</f>
        <v>#REF!</v>
      </c>
      <c r="AD39" s="122" t="e">
        <f>客服部最终提成计算表!$X41*0.15*0.8*0.85*'18年合同登记表'!#REF!/'18年合同登记表'!#REF!</f>
        <v>#REF!</v>
      </c>
      <c r="AE39" s="122" t="e">
        <f>客服部最终提成计算表!$X41*0.15*0.8*0.08*'18年合同登记表'!#REF!/'18年合同登记表'!#REF!</f>
        <v>#REF!</v>
      </c>
      <c r="AF39" s="122" t="e">
        <f>客服部最终提成计算表!$X41*0.15*0.8*0.05*'18年合同登记表'!#REF!/'18年合同登记表'!#REF!</f>
        <v>#REF!</v>
      </c>
      <c r="AG39" s="122" t="e">
        <f>客服部最终提成计算表!$X41*0.15*0.8*0.02*'18年合同登记表'!#REF!/'18年合同登记表'!#REF!</f>
        <v>#REF!</v>
      </c>
      <c r="AH39" s="122" t="e">
        <f>客服部最终提成计算表!$X41*0.15*0.8*0.85*'18年合同登记表'!#REF!/'18年合同登记表'!#REF!</f>
        <v>#REF!</v>
      </c>
      <c r="AI39" s="122" t="e">
        <f>客服部最终提成计算表!$X41*0.15*0.8*0.08*'18年合同登记表'!#REF!/'18年合同登记表'!#REF!</f>
        <v>#REF!</v>
      </c>
      <c r="AJ39" s="122" t="e">
        <f>客服部最终提成计算表!$X41*0.15*0.8*0.05*'18年合同登记表'!#REF!/'18年合同登记表'!#REF!</f>
        <v>#REF!</v>
      </c>
      <c r="AK39" s="122" t="e">
        <f>客服部最终提成计算表!$X41*0.15*0.8*0.02*'18年合同登记表'!#REF!/'18年合同登记表'!#REF!</f>
        <v>#REF!</v>
      </c>
      <c r="AL39" s="122" t="e">
        <f>客服部最终提成计算表!$X41*0.15*0.8*0.85*'18年合同登记表'!#REF!/'18年合同登记表'!#REF!</f>
        <v>#REF!</v>
      </c>
      <c r="AM39" s="122" t="e">
        <f>客服部最终提成计算表!$X41*0.15*0.8*0.08*'18年合同登记表'!#REF!/'18年合同登记表'!#REF!</f>
        <v>#REF!</v>
      </c>
      <c r="AN39" s="122" t="e">
        <f>客服部最终提成计算表!$X41*0.15*0.8*0.05*'18年合同登记表'!#REF!/'18年合同登记表'!#REF!</f>
        <v>#REF!</v>
      </c>
      <c r="AO39" s="122" t="e">
        <f>客服部最终提成计算表!$X41*0.15*0.8*0.02*'18年合同登记表'!#REF!/'18年合同登记表'!#REF!</f>
        <v>#REF!</v>
      </c>
      <c r="AP39" s="122" t="e">
        <f>客服部最终提成计算表!$X41*0.15*0.8*0.85*'18年合同登记表'!#REF!/'18年合同登记表'!#REF!</f>
        <v>#REF!</v>
      </c>
      <c r="AQ39" s="122" t="e">
        <f>客服部最终提成计算表!$X41*0.15*0.8*0.08*'18年合同登记表'!#REF!/'18年合同登记表'!#REF!</f>
        <v>#REF!</v>
      </c>
      <c r="AR39" s="122" t="e">
        <f>客服部最终提成计算表!$X41*0.15*0.8*0.05*'18年合同登记表'!#REF!/'18年合同登记表'!#REF!</f>
        <v>#REF!</v>
      </c>
      <c r="AS39" s="122" t="e">
        <f>客服部最终提成计算表!$X41*0.15*0.8*0.02*'18年合同登记表'!#REF!/'18年合同登记表'!#REF!</f>
        <v>#REF!</v>
      </c>
      <c r="AT39" s="122" t="e">
        <f>客服部最终提成计算表!$X41*0.15*0.8*0.85*'18年合同登记表'!#REF!/'18年合同登记表'!#REF!</f>
        <v>#REF!</v>
      </c>
      <c r="AU39" s="122" t="e">
        <f>客服部最终提成计算表!$X41*0.15*0.8*0.08*'18年合同登记表'!#REF!/'18年合同登记表'!#REF!</f>
        <v>#REF!</v>
      </c>
      <c r="AV39" s="122" t="e">
        <f>客服部最终提成计算表!$X41*0.15*0.8*0.05*'18年合同登记表'!#REF!/'18年合同登记表'!#REF!</f>
        <v>#REF!</v>
      </c>
      <c r="AW39" s="122" t="e">
        <f>客服部最终提成计算表!$X41*0.15*0.8*0.02*'18年合同登记表'!#REF!/'18年合同登记表'!#REF!</f>
        <v>#REF!</v>
      </c>
      <c r="AX39" s="122" t="e">
        <f>客服部最终提成计算表!$X41*0.15*0.8*0.85*'18年合同登记表'!#REF!/'18年合同登记表'!#REF!</f>
        <v>#REF!</v>
      </c>
      <c r="AY39" s="122" t="e">
        <f>客服部最终提成计算表!$X41*0.15*0.8*0.08*'18年合同登记表'!#REF!/'18年合同登记表'!#REF!</f>
        <v>#REF!</v>
      </c>
      <c r="AZ39" s="122" t="e">
        <f>客服部最终提成计算表!$X41*0.15*0.8*0.05*'18年合同登记表'!#REF!/'18年合同登记表'!#REF!</f>
        <v>#REF!</v>
      </c>
      <c r="BA39" s="131" t="e">
        <f>客服部最终提成计算表!$X41*0.15*0.8*0.02*'18年合同登记表'!#REF!/'18年合同登记表'!#REF!</f>
        <v>#REF!</v>
      </c>
    </row>
    <row r="40" s="104" customFormat="1" ht="14.25" spans="1:53">
      <c r="A40" s="123" t="s">
        <v>974</v>
      </c>
      <c r="B40" s="124">
        <f>'18年合同登记表'!F34</f>
        <v>0</v>
      </c>
      <c r="C40" s="125">
        <f>'18年合同登记表'!H34</f>
        <v>0</v>
      </c>
      <c r="D40" s="125">
        <f>'18年合同登记表'!I34</f>
        <v>0</v>
      </c>
      <c r="E40" s="126">
        <f>'18年合同登记表'!L34</f>
        <v>0</v>
      </c>
      <c r="F40" s="127" t="e">
        <f>SUM(F32:F39)</f>
        <v>#REF!</v>
      </c>
      <c r="G40" s="128" t="e">
        <f>客服部最终提成计算表!$X42*0.15*0.8*0.08*'18年合同登记表'!T34/'18年合同登记表'!$M34</f>
        <v>#REF!</v>
      </c>
      <c r="H40" s="128" t="e">
        <f>客服部最终提成计算表!$X42*0.15*0.8*0.05*'18年合同登记表'!T34/'18年合同登记表'!$M34</f>
        <v>#REF!</v>
      </c>
      <c r="I40" s="128" t="e">
        <f>客服部最终提成计算表!$X42*0.15*0.8*0.02*'18年合同登记表'!T34/'18年合同登记表'!$M34</f>
        <v>#REF!</v>
      </c>
      <c r="J40" s="128" t="e">
        <f>客服部最终提成计算表!$X42*0.15*0.8*0.85*'18年合同登记表'!V34/'18年合同登记表'!$M34</f>
        <v>#REF!</v>
      </c>
      <c r="K40" s="128" t="e">
        <f>客服部最终提成计算表!$X42*0.15*0.8*0.08*'18年合同登记表'!V34/'18年合同登记表'!$M34</f>
        <v>#REF!</v>
      </c>
      <c r="L40" s="128" t="e">
        <f>客服部最终提成计算表!$X42*0.15*0.8*0.05*'18年合同登记表'!V34/'18年合同登记表'!$M34</f>
        <v>#REF!</v>
      </c>
      <c r="M40" s="128" t="e">
        <f>客服部最终提成计算表!$X42*0.15*0.8*0.02*'18年合同登记表'!V34/'18年合同登记表'!$M34</f>
        <v>#REF!</v>
      </c>
      <c r="N40" s="128" t="e">
        <f>客服部最终提成计算表!$X42*0.15*0.8*0.85*'18年合同登记表'!X34/'18年合同登记表'!$M34</f>
        <v>#REF!</v>
      </c>
      <c r="O40" s="128" t="e">
        <f>客服部最终提成计算表!$X42*0.15*0.8*0.08*'18年合同登记表'!X34/'18年合同登记表'!$M34</f>
        <v>#REF!</v>
      </c>
      <c r="P40" s="128" t="e">
        <f>客服部最终提成计算表!$X42*0.15*0.8*0.05*'18年合同登记表'!X34/'18年合同登记表'!$M34</f>
        <v>#REF!</v>
      </c>
      <c r="Q40" s="128" t="e">
        <f>客服部最终提成计算表!$X42*0.15*0.8*0.02*'18年合同登记表'!X34/'18年合同登记表'!$M34</f>
        <v>#REF!</v>
      </c>
      <c r="R40" s="128" t="e">
        <f>客服部最终提成计算表!$X42*0.15*0.8*0.85*'18年合同登记表'!Z34/'18年合同登记表'!$M34</f>
        <v>#REF!</v>
      </c>
      <c r="S40" s="128" t="e">
        <f>客服部最终提成计算表!$X42*0.15*0.8*0.08*'18年合同登记表'!Z34/'18年合同登记表'!$M34</f>
        <v>#REF!</v>
      </c>
      <c r="T40" s="128" t="e">
        <f>客服部最终提成计算表!$X42*0.15*0.8*0.05*'18年合同登记表'!Z34/'18年合同登记表'!$M34</f>
        <v>#REF!</v>
      </c>
      <c r="U40" s="128" t="e">
        <f>客服部最终提成计算表!$X42*0.15*0.8*0.02*'18年合同登记表'!Z34/'18年合同登记表'!$M34</f>
        <v>#REF!</v>
      </c>
      <c r="V40" s="128" t="e">
        <f>客服部最终提成计算表!$X42*0.15*0.8*0.85*'18年合同登记表'!AB34/'18年合同登记表'!$M34</f>
        <v>#REF!</v>
      </c>
      <c r="W40" s="128" t="e">
        <f>客服部最终提成计算表!$X42*0.15*0.8*0.08*'18年合同登记表'!AB34/'18年合同登记表'!$M34</f>
        <v>#REF!</v>
      </c>
      <c r="X40" s="128" t="e">
        <f>客服部最终提成计算表!$X42*0.15*0.8*0.05*'18年合同登记表'!AB34/'18年合同登记表'!$M34</f>
        <v>#REF!</v>
      </c>
      <c r="Y40" s="128" t="e">
        <f>客服部最终提成计算表!$X42*0.15*0.8*0.02*'18年合同登记表'!AB34/'18年合同登记表'!$M34</f>
        <v>#REF!</v>
      </c>
      <c r="Z40" s="128" t="e">
        <f>客服部最终提成计算表!$X42*0.15*0.8*0.85*'18年合同登记表'!AD34/'18年合同登记表'!$M34</f>
        <v>#REF!</v>
      </c>
      <c r="AA40" s="128" t="e">
        <f>客服部最终提成计算表!$X42*0.15*0.8*0.08*'18年合同登记表'!AD34/'18年合同登记表'!$M34</f>
        <v>#REF!</v>
      </c>
      <c r="AB40" s="128" t="e">
        <f>客服部最终提成计算表!$X42*0.15*0.8*0.05*'18年合同登记表'!AD34/'18年合同登记表'!$M34</f>
        <v>#REF!</v>
      </c>
      <c r="AC40" s="128" t="e">
        <f>客服部最终提成计算表!$X42*0.15*0.8*0.02*'18年合同登记表'!AD34/'18年合同登记表'!$M34</f>
        <v>#REF!</v>
      </c>
      <c r="AD40" s="128" t="e">
        <f>客服部最终提成计算表!$X42*0.15*0.8*0.85*'18年合同登记表'!AF34/'18年合同登记表'!$M34</f>
        <v>#REF!</v>
      </c>
      <c r="AE40" s="128" t="e">
        <f>客服部最终提成计算表!$X42*0.15*0.8*0.08*'18年合同登记表'!AF34/'18年合同登记表'!$M34</f>
        <v>#REF!</v>
      </c>
      <c r="AF40" s="128" t="e">
        <f>客服部最终提成计算表!$X42*0.15*0.8*0.05*'18年合同登记表'!AF34/'18年合同登记表'!$M34</f>
        <v>#REF!</v>
      </c>
      <c r="AG40" s="128" t="e">
        <f>客服部最终提成计算表!$X42*0.15*0.8*0.02*'18年合同登记表'!AF34/'18年合同登记表'!$M34</f>
        <v>#REF!</v>
      </c>
      <c r="AH40" s="128" t="e">
        <f>客服部最终提成计算表!$X42*0.15*0.8*0.85*'18年合同登记表'!AH34/'18年合同登记表'!$M34</f>
        <v>#REF!</v>
      </c>
      <c r="AI40" s="128" t="e">
        <f>客服部最终提成计算表!$X42*0.15*0.8*0.08*'18年合同登记表'!AH34/'18年合同登记表'!$M34</f>
        <v>#REF!</v>
      </c>
      <c r="AJ40" s="128" t="e">
        <f>客服部最终提成计算表!$X42*0.15*0.8*0.05*'18年合同登记表'!AH34/'18年合同登记表'!$M34</f>
        <v>#REF!</v>
      </c>
      <c r="AK40" s="128" t="e">
        <f>客服部最终提成计算表!$X42*0.15*0.8*0.02*'18年合同登记表'!AH34/'18年合同登记表'!$M34</f>
        <v>#REF!</v>
      </c>
      <c r="AL40" s="128" t="e">
        <f>客服部最终提成计算表!$X42*0.15*0.8*0.85*'18年合同登记表'!AJ34/'18年合同登记表'!$M34</f>
        <v>#REF!</v>
      </c>
      <c r="AM40" s="128" t="e">
        <f>客服部最终提成计算表!$X42*0.15*0.8*0.08*'18年合同登记表'!AJ34/'18年合同登记表'!$M34</f>
        <v>#REF!</v>
      </c>
      <c r="AN40" s="128" t="e">
        <f>客服部最终提成计算表!$X42*0.15*0.8*0.05*'18年合同登记表'!AJ34/'18年合同登记表'!$M34</f>
        <v>#REF!</v>
      </c>
      <c r="AO40" s="128" t="e">
        <f>客服部最终提成计算表!$X42*0.15*0.8*0.02*'18年合同登记表'!AJ34/'18年合同登记表'!$M34</f>
        <v>#REF!</v>
      </c>
      <c r="AP40" s="128" t="e">
        <f>客服部最终提成计算表!$X42*0.15*0.8*0.85*'18年合同登记表'!AL34/'18年合同登记表'!$M34</f>
        <v>#REF!</v>
      </c>
      <c r="AQ40" s="128" t="e">
        <f>客服部最终提成计算表!$X42*0.15*0.8*0.08*'18年合同登记表'!AL34/'18年合同登记表'!$M34</f>
        <v>#REF!</v>
      </c>
      <c r="AR40" s="128" t="e">
        <f>客服部最终提成计算表!$X42*0.15*0.8*0.05*'18年合同登记表'!AL34/'18年合同登记表'!$M34</f>
        <v>#REF!</v>
      </c>
      <c r="AS40" s="128" t="e">
        <f>客服部最终提成计算表!$X42*0.15*0.8*0.02*'18年合同登记表'!AL34/'18年合同登记表'!$M34</f>
        <v>#REF!</v>
      </c>
      <c r="AT40" s="128" t="e">
        <f>客服部最终提成计算表!$X42*0.15*0.8*0.85*'18年合同登记表'!AN34/'18年合同登记表'!$M34</f>
        <v>#REF!</v>
      </c>
      <c r="AU40" s="128" t="e">
        <f>客服部最终提成计算表!$X42*0.15*0.8*0.08*'18年合同登记表'!AN34/'18年合同登记表'!$M34</f>
        <v>#REF!</v>
      </c>
      <c r="AV40" s="128" t="e">
        <f>客服部最终提成计算表!$X42*0.15*0.8*0.05*'18年合同登记表'!AN34/'18年合同登记表'!$M34</f>
        <v>#REF!</v>
      </c>
      <c r="AW40" s="128" t="e">
        <f>客服部最终提成计算表!$X42*0.15*0.8*0.02*'18年合同登记表'!AN34/'18年合同登记表'!$M34</f>
        <v>#REF!</v>
      </c>
      <c r="AX40" s="128" t="e">
        <f>客服部最终提成计算表!$X42*0.15*0.8*0.85*'18年合同登记表'!AP34/'18年合同登记表'!$M34</f>
        <v>#REF!</v>
      </c>
      <c r="AY40" s="128" t="e">
        <f>客服部最终提成计算表!$X42*0.15*0.8*0.08*'18年合同登记表'!AP34/'18年合同登记表'!$M34</f>
        <v>#REF!</v>
      </c>
      <c r="AZ40" s="128" t="e">
        <f>客服部最终提成计算表!$X42*0.15*0.8*0.05*'18年合同登记表'!AP34/'18年合同登记表'!$M34</f>
        <v>#REF!</v>
      </c>
      <c r="BA40" s="132" t="e">
        <f>客服部最终提成计算表!$X42*0.15*0.8*0.02*'18年合同登记表'!AP34/'18年合同登记表'!$M34</f>
        <v>#REF!</v>
      </c>
    </row>
    <row r="41" s="104" customFormat="1" ht="14.25" spans="1:53">
      <c r="A41" s="123" t="s">
        <v>975</v>
      </c>
      <c r="B41" s="124">
        <f>'18年合同登记表'!F35</f>
        <v>0</v>
      </c>
      <c r="C41" s="125">
        <f>'18年合同登记表'!H35</f>
        <v>0</v>
      </c>
      <c r="D41" s="125">
        <f>'18年合同登记表'!I35</f>
        <v>0</v>
      </c>
      <c r="E41" s="126">
        <f>'18年合同登记表'!L35</f>
        <v>0</v>
      </c>
      <c r="F41" s="127" t="e">
        <f>F31+F40</f>
        <v>#REF!</v>
      </c>
      <c r="G41" s="127" t="e">
        <f t="shared" ref="G41:BA41" si="1">G31+G40</f>
        <v>#REF!</v>
      </c>
      <c r="H41" s="127" t="e">
        <f t="shared" si="1"/>
        <v>#REF!</v>
      </c>
      <c r="I41" s="127" t="e">
        <f t="shared" si="1"/>
        <v>#REF!</v>
      </c>
      <c r="J41" s="127" t="e">
        <f t="shared" si="1"/>
        <v>#REF!</v>
      </c>
      <c r="K41" s="127" t="e">
        <f t="shared" si="1"/>
        <v>#REF!</v>
      </c>
      <c r="L41" s="127" t="e">
        <f t="shared" si="1"/>
        <v>#REF!</v>
      </c>
      <c r="M41" s="127" t="e">
        <f t="shared" si="1"/>
        <v>#REF!</v>
      </c>
      <c r="N41" s="127" t="e">
        <f t="shared" si="1"/>
        <v>#REF!</v>
      </c>
      <c r="O41" s="127" t="e">
        <f t="shared" si="1"/>
        <v>#REF!</v>
      </c>
      <c r="P41" s="127" t="e">
        <f t="shared" si="1"/>
        <v>#REF!</v>
      </c>
      <c r="Q41" s="127" t="e">
        <f t="shared" si="1"/>
        <v>#REF!</v>
      </c>
      <c r="R41" s="127" t="e">
        <f t="shared" si="1"/>
        <v>#REF!</v>
      </c>
      <c r="S41" s="127" t="e">
        <f t="shared" si="1"/>
        <v>#REF!</v>
      </c>
      <c r="T41" s="127" t="e">
        <f t="shared" si="1"/>
        <v>#REF!</v>
      </c>
      <c r="U41" s="127" t="e">
        <f t="shared" si="1"/>
        <v>#REF!</v>
      </c>
      <c r="V41" s="127" t="e">
        <f t="shared" si="1"/>
        <v>#REF!</v>
      </c>
      <c r="W41" s="127" t="e">
        <f t="shared" si="1"/>
        <v>#REF!</v>
      </c>
      <c r="X41" s="127" t="e">
        <f t="shared" si="1"/>
        <v>#REF!</v>
      </c>
      <c r="Y41" s="127" t="e">
        <f t="shared" si="1"/>
        <v>#REF!</v>
      </c>
      <c r="Z41" s="127" t="e">
        <f t="shared" si="1"/>
        <v>#REF!</v>
      </c>
      <c r="AA41" s="127" t="e">
        <f t="shared" si="1"/>
        <v>#REF!</v>
      </c>
      <c r="AB41" s="127" t="e">
        <f t="shared" si="1"/>
        <v>#REF!</v>
      </c>
      <c r="AC41" s="127" t="e">
        <f t="shared" si="1"/>
        <v>#REF!</v>
      </c>
      <c r="AD41" s="127" t="e">
        <f t="shared" si="1"/>
        <v>#REF!</v>
      </c>
      <c r="AE41" s="127" t="e">
        <f t="shared" si="1"/>
        <v>#REF!</v>
      </c>
      <c r="AF41" s="127" t="e">
        <f t="shared" si="1"/>
        <v>#REF!</v>
      </c>
      <c r="AG41" s="127" t="e">
        <f t="shared" si="1"/>
        <v>#REF!</v>
      </c>
      <c r="AH41" s="127" t="e">
        <f t="shared" si="1"/>
        <v>#REF!</v>
      </c>
      <c r="AI41" s="127" t="e">
        <f t="shared" si="1"/>
        <v>#REF!</v>
      </c>
      <c r="AJ41" s="127" t="e">
        <f t="shared" si="1"/>
        <v>#REF!</v>
      </c>
      <c r="AK41" s="127" t="e">
        <f t="shared" si="1"/>
        <v>#REF!</v>
      </c>
      <c r="AL41" s="127" t="e">
        <f t="shared" si="1"/>
        <v>#REF!</v>
      </c>
      <c r="AM41" s="127" t="e">
        <f t="shared" si="1"/>
        <v>#REF!</v>
      </c>
      <c r="AN41" s="127" t="e">
        <f t="shared" si="1"/>
        <v>#REF!</v>
      </c>
      <c r="AO41" s="127" t="e">
        <f t="shared" si="1"/>
        <v>#REF!</v>
      </c>
      <c r="AP41" s="127" t="e">
        <f t="shared" si="1"/>
        <v>#REF!</v>
      </c>
      <c r="AQ41" s="127" t="e">
        <f t="shared" si="1"/>
        <v>#REF!</v>
      </c>
      <c r="AR41" s="127" t="e">
        <f t="shared" si="1"/>
        <v>#REF!</v>
      </c>
      <c r="AS41" s="127" t="e">
        <f t="shared" si="1"/>
        <v>#REF!</v>
      </c>
      <c r="AT41" s="127" t="e">
        <f t="shared" si="1"/>
        <v>#REF!</v>
      </c>
      <c r="AU41" s="127" t="e">
        <f t="shared" si="1"/>
        <v>#REF!</v>
      </c>
      <c r="AV41" s="127" t="e">
        <f t="shared" si="1"/>
        <v>#REF!</v>
      </c>
      <c r="AW41" s="127" t="e">
        <f t="shared" si="1"/>
        <v>#REF!</v>
      </c>
      <c r="AX41" s="127" t="e">
        <f t="shared" si="1"/>
        <v>#REF!</v>
      </c>
      <c r="AY41" s="127" t="e">
        <f t="shared" si="1"/>
        <v>#REF!</v>
      </c>
      <c r="AZ41" s="127" t="e">
        <f t="shared" si="1"/>
        <v>#REF!</v>
      </c>
      <c r="BA41" s="127" t="e">
        <f t="shared" si="1"/>
        <v>#REF!</v>
      </c>
    </row>
    <row r="42" s="104" customFormat="1" ht="14.25" spans="1:53">
      <c r="A42" s="117"/>
      <c r="B42" s="118" t="str">
        <f>'18年合同登记表'!F36</f>
        <v>环境大厦</v>
      </c>
      <c r="C42" s="119" t="str">
        <f>'18年合同登记表'!H36</f>
        <v>NHY-20180226-L-01-02-045</v>
      </c>
      <c r="D42" s="119" t="str">
        <f>'18年合同登记表'!I36</f>
        <v>直燃机维保</v>
      </c>
      <c r="E42" s="120" t="str">
        <f>'18年合同登记表'!L36</f>
        <v>兰健</v>
      </c>
      <c r="F42" s="121">
        <f>客服部最终提成计算表!$X44*0.15*0.8*0.85*'18年合同登记表'!T36/'18年合同登记表'!$M36</f>
        <v>0</v>
      </c>
      <c r="G42" s="122">
        <f>客服部最终提成计算表!$X44*0.15*0.8*0.08*'18年合同登记表'!T36/'18年合同登记表'!$M36</f>
        <v>0</v>
      </c>
      <c r="H42" s="122">
        <f>客服部最终提成计算表!$X44*0.15*0.8*0.05*'18年合同登记表'!T36/'18年合同登记表'!$M36</f>
        <v>0</v>
      </c>
      <c r="I42" s="122">
        <f>客服部最终提成计算表!$X44*0.15*0.8*0.02*'18年合同登记表'!T36/'18年合同登记表'!$M36</f>
        <v>0</v>
      </c>
      <c r="J42" s="122">
        <f>客服部最终提成计算表!$X44*0.15*0.8*0.85*'18年合同登记表'!V36/'18年合同登记表'!$M36</f>
        <v>0</v>
      </c>
      <c r="K42" s="122">
        <f>客服部最终提成计算表!$X44*0.15*0.8*0.08*'18年合同登记表'!V36/'18年合同登记表'!$M36</f>
        <v>0</v>
      </c>
      <c r="L42" s="122">
        <f>客服部最终提成计算表!$X44*0.15*0.8*0.05*'18年合同登记表'!V36/'18年合同登记表'!$M36</f>
        <v>0</v>
      </c>
      <c r="M42" s="122">
        <f>客服部最终提成计算表!$X44*0.15*0.8*0.02*'18年合同登记表'!V36/'18年合同登记表'!$M36</f>
        <v>0</v>
      </c>
      <c r="N42" s="122">
        <f>客服部最终提成计算表!$X44*0.15*0.8*0.85*'18年合同登记表'!X36/'18年合同登记表'!$M36</f>
        <v>3549.6</v>
      </c>
      <c r="O42" s="122">
        <f>客服部最终提成计算表!$X44*0.15*0.8*0.08*'18年合同登记表'!X36/'18年合同登记表'!$M36</f>
        <v>334.08</v>
      </c>
      <c r="P42" s="122">
        <f>客服部最终提成计算表!$X44*0.15*0.8*0.05*'18年合同登记表'!X36/'18年合同登记表'!$M36</f>
        <v>208.8</v>
      </c>
      <c r="Q42" s="122">
        <f>客服部最终提成计算表!$X44*0.15*0.8*0.02*'18年合同登记表'!X36/'18年合同登记表'!$M36</f>
        <v>83.52</v>
      </c>
      <c r="R42" s="122">
        <f>客服部最终提成计算表!$X44*0.15*0.8*0.85*'18年合同登记表'!Z36/'18年合同登记表'!$M36</f>
        <v>0</v>
      </c>
      <c r="S42" s="122">
        <f>客服部最终提成计算表!$X44*0.15*0.8*0.08*'18年合同登记表'!Z36/'18年合同登记表'!$M36</f>
        <v>0</v>
      </c>
      <c r="T42" s="122">
        <f>客服部最终提成计算表!$X44*0.15*0.8*0.05*'18年合同登记表'!Z36/'18年合同登记表'!$M36</f>
        <v>0</v>
      </c>
      <c r="U42" s="122">
        <f>客服部最终提成计算表!$X44*0.15*0.8*0.02*'18年合同登记表'!Z36/'18年合同登记表'!$M36</f>
        <v>0</v>
      </c>
      <c r="V42" s="122">
        <f>客服部最终提成计算表!$X44*0.15*0.8*0.85*'18年合同登记表'!AB36/'18年合同登记表'!$M36</f>
        <v>0</v>
      </c>
      <c r="W42" s="122">
        <f>客服部最终提成计算表!$X44*0.15*0.8*0.08*'18年合同登记表'!AB36/'18年合同登记表'!$M36</f>
        <v>0</v>
      </c>
      <c r="X42" s="122">
        <f>客服部最终提成计算表!$X44*0.15*0.8*0.05*'18年合同登记表'!AB36/'18年合同登记表'!$M36</f>
        <v>0</v>
      </c>
      <c r="Y42" s="122">
        <f>客服部最终提成计算表!$X44*0.15*0.8*0.02*'18年合同登记表'!AB36/'18年合同登记表'!$M36</f>
        <v>0</v>
      </c>
      <c r="Z42" s="122">
        <f>客服部最终提成计算表!$X44*0.15*0.8*0.85*'18年合同登记表'!AD36/'18年合同登记表'!$M36</f>
        <v>0</v>
      </c>
      <c r="AA42" s="122">
        <f>客服部最终提成计算表!$X44*0.15*0.8*0.08*'18年合同登记表'!AD36/'18年合同登记表'!$M36</f>
        <v>0</v>
      </c>
      <c r="AB42" s="122">
        <f>客服部最终提成计算表!$X44*0.15*0.8*0.05*'18年合同登记表'!AD36/'18年合同登记表'!$M36</f>
        <v>0</v>
      </c>
      <c r="AC42" s="122">
        <f>客服部最终提成计算表!$X44*0.15*0.8*0.02*'18年合同登记表'!AD36/'18年合同登记表'!$M36</f>
        <v>0</v>
      </c>
      <c r="AD42" s="122">
        <f>客服部最终提成计算表!$X44*0.15*0.8*0.85*'18年合同登记表'!AF36/'18年合同登记表'!$M36</f>
        <v>0</v>
      </c>
      <c r="AE42" s="122">
        <f>客服部最终提成计算表!$X44*0.15*0.8*0.08*'18年合同登记表'!AF36/'18年合同登记表'!$M36</f>
        <v>0</v>
      </c>
      <c r="AF42" s="122">
        <f>客服部最终提成计算表!$X44*0.15*0.8*0.05*'18年合同登记表'!AF36/'18年合同登记表'!$M36</f>
        <v>0</v>
      </c>
      <c r="AG42" s="122">
        <f>客服部最终提成计算表!$X44*0.15*0.8*0.02*'18年合同登记表'!AF36/'18年合同登记表'!$M36</f>
        <v>0</v>
      </c>
      <c r="AH42" s="122">
        <f>客服部最终提成计算表!$X44*0.15*0.8*0.85*'18年合同登记表'!AH36/'18年合同登记表'!$M36</f>
        <v>0</v>
      </c>
      <c r="AI42" s="122">
        <f>客服部最终提成计算表!$X44*0.15*0.8*0.08*'18年合同登记表'!AH36/'18年合同登记表'!$M36</f>
        <v>0</v>
      </c>
      <c r="AJ42" s="122">
        <f>客服部最终提成计算表!$X44*0.15*0.8*0.05*'18年合同登记表'!AH36/'18年合同登记表'!$M36</f>
        <v>0</v>
      </c>
      <c r="AK42" s="122">
        <f>客服部最终提成计算表!$X44*0.15*0.8*0.02*'18年合同登记表'!AH36/'18年合同登记表'!$M36</f>
        <v>0</v>
      </c>
      <c r="AL42" s="122">
        <f>客服部最终提成计算表!$X44*0.15*0.8*0.85*'18年合同登记表'!AJ36/'18年合同登记表'!$M36</f>
        <v>0</v>
      </c>
      <c r="AM42" s="122">
        <f>客服部最终提成计算表!$X44*0.15*0.8*0.08*'18年合同登记表'!AJ36/'18年合同登记表'!$M36</f>
        <v>0</v>
      </c>
      <c r="AN42" s="122">
        <f>客服部最终提成计算表!$X44*0.15*0.8*0.05*'18年合同登记表'!AJ36/'18年合同登记表'!$M36</f>
        <v>0</v>
      </c>
      <c r="AO42" s="122">
        <f>客服部最终提成计算表!$X44*0.15*0.8*0.02*'18年合同登记表'!AJ36/'18年合同登记表'!$M36</f>
        <v>0</v>
      </c>
      <c r="AP42" s="122">
        <f>客服部最终提成计算表!$X44*0.15*0.8*0.85*'18年合同登记表'!AL36/'18年合同登记表'!$M36</f>
        <v>0</v>
      </c>
      <c r="AQ42" s="122">
        <f>客服部最终提成计算表!$X44*0.15*0.8*0.08*'18年合同登记表'!AL36/'18年合同登记表'!$M36</f>
        <v>0</v>
      </c>
      <c r="AR42" s="122">
        <f>客服部最终提成计算表!$X44*0.15*0.8*0.05*'18年合同登记表'!AL36/'18年合同登记表'!$M36</f>
        <v>0</v>
      </c>
      <c r="AS42" s="122">
        <f>客服部最终提成计算表!$X44*0.15*0.8*0.02*'18年合同登记表'!AL36/'18年合同登记表'!$M36</f>
        <v>0</v>
      </c>
      <c r="AT42" s="122">
        <f>客服部最终提成计算表!$X44*0.15*0.8*0.85*'18年合同登记表'!AN36/'18年合同登记表'!$M36</f>
        <v>0</v>
      </c>
      <c r="AU42" s="122">
        <f>客服部最终提成计算表!$X44*0.15*0.8*0.08*'18年合同登记表'!AN36/'18年合同登记表'!$M36</f>
        <v>0</v>
      </c>
      <c r="AV42" s="122">
        <f>客服部最终提成计算表!$X44*0.15*0.8*0.05*'18年合同登记表'!AN36/'18年合同登记表'!$M36</f>
        <v>0</v>
      </c>
      <c r="AW42" s="122">
        <f>客服部最终提成计算表!$X44*0.15*0.8*0.02*'18年合同登记表'!AN36/'18年合同登记表'!$M36</f>
        <v>0</v>
      </c>
      <c r="AX42" s="122">
        <f>客服部最终提成计算表!$X44*0.15*0.8*0.85*'18年合同登记表'!AP36/'18年合同登记表'!$M36</f>
        <v>0</v>
      </c>
      <c r="AY42" s="122">
        <f>客服部最终提成计算表!$X44*0.15*0.8*0.08*'18年合同登记表'!AP36/'18年合同登记表'!$M36</f>
        <v>0</v>
      </c>
      <c r="AZ42" s="122">
        <f>客服部最终提成计算表!$X44*0.15*0.8*0.05*'18年合同登记表'!AP36/'18年合同登记表'!$M36</f>
        <v>0</v>
      </c>
      <c r="BA42" s="131">
        <f>客服部最终提成计算表!$X44*0.15*0.8*0.02*'18年合同登记表'!AP36/'18年合同登记表'!$M36</f>
        <v>0</v>
      </c>
    </row>
    <row r="43" s="104" customFormat="1" ht="14.25" spans="1:53">
      <c r="A43" s="117"/>
      <c r="B43" s="118" t="str">
        <f>'18年合同登记表'!F37</f>
        <v>环境大厦</v>
      </c>
      <c r="C43" s="119" t="str">
        <f>'18年合同登记表'!H37</f>
        <v>NHY-20180226-L-01-01-045</v>
      </c>
      <c r="D43" s="119" t="str">
        <f>'18年合同登记表'!I37</f>
        <v>空调托管运行</v>
      </c>
      <c r="E43" s="120" t="str">
        <f>'18年合同登记表'!L37</f>
        <v>兰健</v>
      </c>
      <c r="F43" s="121">
        <f>客服部最终提成计算表!$X45*0.15*0.8*0.85*'18年合同登记表'!T37/'18年合同登记表'!$M37</f>
        <v>0</v>
      </c>
      <c r="G43" s="122">
        <f>客服部最终提成计算表!$X45*0.15*0.8*0.08*'18年合同登记表'!T37/'18年合同登记表'!$M37</f>
        <v>0</v>
      </c>
      <c r="H43" s="122">
        <f>客服部最终提成计算表!$X45*0.15*0.8*0.05*'18年合同登记表'!T37/'18年合同登记表'!$M37</f>
        <v>0</v>
      </c>
      <c r="I43" s="122">
        <f>客服部最终提成计算表!$X45*0.15*0.8*0.02*'18年合同登记表'!T37/'18年合同登记表'!$M37</f>
        <v>0</v>
      </c>
      <c r="J43" s="122">
        <f>客服部最终提成计算表!$X45*0.15*0.8*0.85*'18年合同登记表'!V37/'18年合同登记表'!$M37</f>
        <v>0</v>
      </c>
      <c r="K43" s="122">
        <f>客服部最终提成计算表!$X45*0.15*0.8*0.08*'18年合同登记表'!V37/'18年合同登记表'!$M37</f>
        <v>0</v>
      </c>
      <c r="L43" s="122">
        <f>客服部最终提成计算表!$X45*0.15*0.8*0.05*'18年合同登记表'!V37/'18年合同登记表'!$M37</f>
        <v>0</v>
      </c>
      <c r="M43" s="122">
        <f>客服部最终提成计算表!$X45*0.15*0.8*0.02*'18年合同登记表'!V37/'18年合同登记表'!$M37</f>
        <v>0</v>
      </c>
      <c r="N43" s="122">
        <f>客服部最终提成计算表!$X45*0.15*0.8*0.85*'18年合同登记表'!X37/'18年合同登记表'!$M37</f>
        <v>10179.6</v>
      </c>
      <c r="O43" s="122">
        <f>客服部最终提成计算表!$X45*0.15*0.8*0.08*'18年合同登记表'!X37/'18年合同登记表'!$M37</f>
        <v>958.08</v>
      </c>
      <c r="P43" s="122">
        <f>客服部最终提成计算表!$X45*0.15*0.8*0.05*'18年合同登记表'!X37/'18年合同登记表'!$M37</f>
        <v>598.8</v>
      </c>
      <c r="Q43" s="122">
        <f>客服部最终提成计算表!$X45*0.15*0.8*0.02*'18年合同登记表'!X37/'18年合同登记表'!$M37</f>
        <v>239.52</v>
      </c>
      <c r="R43" s="122">
        <f>客服部最终提成计算表!$X45*0.15*0.8*0.85*'18年合同登记表'!Z37/'18年合同登记表'!$M37</f>
        <v>0</v>
      </c>
      <c r="S43" s="122">
        <f>客服部最终提成计算表!$X45*0.15*0.8*0.08*'18年合同登记表'!Z37/'18年合同登记表'!$M37</f>
        <v>0</v>
      </c>
      <c r="T43" s="122">
        <f>客服部最终提成计算表!$X45*0.15*0.8*0.05*'18年合同登记表'!Z37/'18年合同登记表'!$M37</f>
        <v>0</v>
      </c>
      <c r="U43" s="122">
        <f>客服部最终提成计算表!$X45*0.15*0.8*0.02*'18年合同登记表'!Z37/'18年合同登记表'!$M37</f>
        <v>0</v>
      </c>
      <c r="V43" s="122">
        <f>客服部最终提成计算表!$X45*0.15*0.8*0.85*'18年合同登记表'!AB37/'18年合同登记表'!$M37</f>
        <v>0</v>
      </c>
      <c r="W43" s="122">
        <f>客服部最终提成计算表!$X45*0.15*0.8*0.08*'18年合同登记表'!AB37/'18年合同登记表'!$M37</f>
        <v>0</v>
      </c>
      <c r="X43" s="122">
        <f>客服部最终提成计算表!$X45*0.15*0.8*0.05*'18年合同登记表'!AB37/'18年合同登记表'!$M37</f>
        <v>0</v>
      </c>
      <c r="Y43" s="122">
        <f>客服部最终提成计算表!$X45*0.15*0.8*0.02*'18年合同登记表'!AB37/'18年合同登记表'!$M37</f>
        <v>0</v>
      </c>
      <c r="Z43" s="122">
        <f>客服部最终提成计算表!$X45*0.15*0.8*0.85*'18年合同登记表'!AD37/'18年合同登记表'!$M37</f>
        <v>0</v>
      </c>
      <c r="AA43" s="122">
        <f>客服部最终提成计算表!$X45*0.15*0.8*0.08*'18年合同登记表'!AD37/'18年合同登记表'!$M37</f>
        <v>0</v>
      </c>
      <c r="AB43" s="122">
        <f>客服部最终提成计算表!$X45*0.15*0.8*0.05*'18年合同登记表'!AD37/'18年合同登记表'!$M37</f>
        <v>0</v>
      </c>
      <c r="AC43" s="122">
        <f>客服部最终提成计算表!$X45*0.15*0.8*0.02*'18年合同登记表'!AD37/'18年合同登记表'!$M37</f>
        <v>0</v>
      </c>
      <c r="AD43" s="122">
        <f>客服部最终提成计算表!$X45*0.15*0.8*0.85*'18年合同登记表'!AF37/'18年合同登记表'!$M37</f>
        <v>0</v>
      </c>
      <c r="AE43" s="122">
        <f>客服部最终提成计算表!$X45*0.15*0.8*0.08*'18年合同登记表'!AF37/'18年合同登记表'!$M37</f>
        <v>0</v>
      </c>
      <c r="AF43" s="122">
        <f>客服部最终提成计算表!$X45*0.15*0.8*0.05*'18年合同登记表'!AF37/'18年合同登记表'!$M37</f>
        <v>0</v>
      </c>
      <c r="AG43" s="122">
        <f>客服部最终提成计算表!$X45*0.15*0.8*0.02*'18年合同登记表'!AF37/'18年合同登记表'!$M37</f>
        <v>0</v>
      </c>
      <c r="AH43" s="122">
        <f>客服部最终提成计算表!$X45*0.15*0.8*0.85*'18年合同登记表'!AH37/'18年合同登记表'!$M37</f>
        <v>0</v>
      </c>
      <c r="AI43" s="122">
        <f>客服部最终提成计算表!$X45*0.15*0.8*0.08*'18年合同登记表'!AH37/'18年合同登记表'!$M37</f>
        <v>0</v>
      </c>
      <c r="AJ43" s="122">
        <f>客服部最终提成计算表!$X45*0.15*0.8*0.05*'18年合同登记表'!AH37/'18年合同登记表'!$M37</f>
        <v>0</v>
      </c>
      <c r="AK43" s="122">
        <f>客服部最终提成计算表!$X45*0.15*0.8*0.02*'18年合同登记表'!AH37/'18年合同登记表'!$M37</f>
        <v>0</v>
      </c>
      <c r="AL43" s="122">
        <f>客服部最终提成计算表!$X45*0.15*0.8*0.85*'18年合同登记表'!AJ37/'18年合同登记表'!$M37</f>
        <v>0</v>
      </c>
      <c r="AM43" s="122">
        <f>客服部最终提成计算表!$X45*0.15*0.8*0.08*'18年合同登记表'!AJ37/'18年合同登记表'!$M37</f>
        <v>0</v>
      </c>
      <c r="AN43" s="122">
        <f>客服部最终提成计算表!$X45*0.15*0.8*0.05*'18年合同登记表'!AJ37/'18年合同登记表'!$M37</f>
        <v>0</v>
      </c>
      <c r="AO43" s="122">
        <f>客服部最终提成计算表!$X45*0.15*0.8*0.02*'18年合同登记表'!AJ37/'18年合同登记表'!$M37</f>
        <v>0</v>
      </c>
      <c r="AP43" s="122">
        <f>客服部最终提成计算表!$X45*0.15*0.8*0.85*'18年合同登记表'!AL37/'18年合同登记表'!$M37</f>
        <v>0</v>
      </c>
      <c r="AQ43" s="122">
        <f>客服部最终提成计算表!$X45*0.15*0.8*0.08*'18年合同登记表'!AL37/'18年合同登记表'!$M37</f>
        <v>0</v>
      </c>
      <c r="AR43" s="122">
        <f>客服部最终提成计算表!$X45*0.15*0.8*0.05*'18年合同登记表'!AL37/'18年合同登记表'!$M37</f>
        <v>0</v>
      </c>
      <c r="AS43" s="122">
        <f>客服部最终提成计算表!$X45*0.15*0.8*0.02*'18年合同登记表'!AL37/'18年合同登记表'!$M37</f>
        <v>0</v>
      </c>
      <c r="AT43" s="122">
        <f>客服部最终提成计算表!$X45*0.15*0.8*0.85*'18年合同登记表'!AN37/'18年合同登记表'!$M37</f>
        <v>0</v>
      </c>
      <c r="AU43" s="122">
        <f>客服部最终提成计算表!$X45*0.15*0.8*0.08*'18年合同登记表'!AN37/'18年合同登记表'!$M37</f>
        <v>0</v>
      </c>
      <c r="AV43" s="122">
        <f>客服部最终提成计算表!$X45*0.15*0.8*0.05*'18年合同登记表'!AN37/'18年合同登记表'!$M37</f>
        <v>0</v>
      </c>
      <c r="AW43" s="122">
        <f>客服部最终提成计算表!$X45*0.15*0.8*0.02*'18年合同登记表'!AN37/'18年合同登记表'!$M37</f>
        <v>0</v>
      </c>
      <c r="AX43" s="122">
        <f>客服部最终提成计算表!$X45*0.15*0.8*0.85*'18年合同登记表'!AP37/'18年合同登记表'!$M37</f>
        <v>0</v>
      </c>
      <c r="AY43" s="122">
        <f>客服部最终提成计算表!$X45*0.15*0.8*0.08*'18年合同登记表'!AP37/'18年合同登记表'!$M37</f>
        <v>0</v>
      </c>
      <c r="AZ43" s="122">
        <f>客服部最终提成计算表!$X45*0.15*0.8*0.05*'18年合同登记表'!AP37/'18年合同登记表'!$M37</f>
        <v>0</v>
      </c>
      <c r="BA43" s="131">
        <f>客服部最终提成计算表!$X45*0.15*0.8*0.02*'18年合同登记表'!AP37/'18年合同登记表'!$M37</f>
        <v>0</v>
      </c>
    </row>
    <row r="44" s="104" customFormat="1" ht="14.25" spans="1:53">
      <c r="A44" s="117"/>
      <c r="B44" s="118" t="str">
        <f>'18年合同登记表'!F38</f>
        <v>山西三洋</v>
      </c>
      <c r="C44" s="119" t="str">
        <f>'18年合同登记表'!H38</f>
        <v>NHS-20180327-Q-01-01-030</v>
      </c>
      <c r="D44" s="119" t="str">
        <f>'18年合同登记表'!I38</f>
        <v>购销合同</v>
      </c>
      <c r="E44" s="120" t="str">
        <f>'18年合同登记表'!L38</f>
        <v>陈勇/</v>
      </c>
      <c r="F44" s="121">
        <f>客服部最终提成计算表!$X46*0.15*0.8*0.85*'18年合同登记表'!T38/'18年合同登记表'!$M38</f>
        <v>0</v>
      </c>
      <c r="G44" s="122">
        <f>客服部最终提成计算表!$X46*0.15*0.8*0.08*'18年合同登记表'!T38/'18年合同登记表'!$M38</f>
        <v>0</v>
      </c>
      <c r="H44" s="122">
        <f>客服部最终提成计算表!$X46*0.15*0.8*0.05*'18年合同登记表'!T38/'18年合同登记表'!$M38</f>
        <v>0</v>
      </c>
      <c r="I44" s="122">
        <f>客服部最终提成计算表!$X46*0.15*0.8*0.02*'18年合同登记表'!T38/'18年合同登记表'!$M38</f>
        <v>0</v>
      </c>
      <c r="J44" s="122">
        <f>客服部最终提成计算表!$X46*0.15*0.8*0.85*'18年合同登记表'!V38/'18年合同登记表'!$M38</f>
        <v>0</v>
      </c>
      <c r="K44" s="122">
        <f>客服部最终提成计算表!$X46*0.15*0.8*0.08*'18年合同登记表'!V38/'18年合同登记表'!$M38</f>
        <v>0</v>
      </c>
      <c r="L44" s="122">
        <f>客服部最终提成计算表!$X46*0.15*0.8*0.05*'18年合同登记表'!V38/'18年合同登记表'!$M38</f>
        <v>0</v>
      </c>
      <c r="M44" s="122">
        <f>客服部最终提成计算表!$X46*0.15*0.8*0.02*'18年合同登记表'!V38/'18年合同登记表'!$M38</f>
        <v>0</v>
      </c>
      <c r="N44" s="122">
        <f>客服部最终提成计算表!$X46*0.15*0.8*0.85*'18年合同登记表'!X38/'18年合同登记表'!$M38</f>
        <v>773.16</v>
      </c>
      <c r="O44" s="122">
        <f>客服部最终提成计算表!$X46*0.15*0.8*0.08*'18年合同登记表'!X38/'18年合同登记表'!$M38</f>
        <v>72.768</v>
      </c>
      <c r="P44" s="122">
        <f>客服部最终提成计算表!$X46*0.15*0.8*0.05*'18年合同登记表'!X38/'18年合同登记表'!$M38</f>
        <v>45.48</v>
      </c>
      <c r="Q44" s="122">
        <f>客服部最终提成计算表!$X46*0.15*0.8*0.02*'18年合同登记表'!X38/'18年合同登记表'!$M38</f>
        <v>18.192</v>
      </c>
      <c r="R44" s="122">
        <f>客服部最终提成计算表!$X46*0.15*0.8*0.85*'18年合同登记表'!Z38/'18年合同登记表'!$M38</f>
        <v>0</v>
      </c>
      <c r="S44" s="122">
        <f>客服部最终提成计算表!$X46*0.15*0.8*0.08*'18年合同登记表'!Z38/'18年合同登记表'!$M38</f>
        <v>0</v>
      </c>
      <c r="T44" s="122">
        <f>客服部最终提成计算表!$X46*0.15*0.8*0.05*'18年合同登记表'!Z38/'18年合同登记表'!$M38</f>
        <v>0</v>
      </c>
      <c r="U44" s="122">
        <f>客服部最终提成计算表!$X46*0.15*0.8*0.02*'18年合同登记表'!Z38/'18年合同登记表'!$M38</f>
        <v>0</v>
      </c>
      <c r="V44" s="122">
        <f>客服部最终提成计算表!$X46*0.15*0.8*0.85*'18年合同登记表'!AB38/'18年合同登记表'!$M38</f>
        <v>0</v>
      </c>
      <c r="W44" s="122">
        <f>客服部最终提成计算表!$X46*0.15*0.8*0.08*'18年合同登记表'!AB38/'18年合同登记表'!$M38</f>
        <v>0</v>
      </c>
      <c r="X44" s="122">
        <f>客服部最终提成计算表!$X46*0.15*0.8*0.05*'18年合同登记表'!AB38/'18年合同登记表'!$M38</f>
        <v>0</v>
      </c>
      <c r="Y44" s="122">
        <f>客服部最终提成计算表!$X46*0.15*0.8*0.02*'18年合同登记表'!AB38/'18年合同登记表'!$M38</f>
        <v>0</v>
      </c>
      <c r="Z44" s="122">
        <f>客服部最终提成计算表!$X46*0.15*0.8*0.85*'18年合同登记表'!AD38/'18年合同登记表'!$M38</f>
        <v>0</v>
      </c>
      <c r="AA44" s="122">
        <f>客服部最终提成计算表!$X46*0.15*0.8*0.08*'18年合同登记表'!AD38/'18年合同登记表'!$M38</f>
        <v>0</v>
      </c>
      <c r="AB44" s="122">
        <f>客服部最终提成计算表!$X46*0.15*0.8*0.05*'18年合同登记表'!AD38/'18年合同登记表'!$M38</f>
        <v>0</v>
      </c>
      <c r="AC44" s="122">
        <f>客服部最终提成计算表!$X46*0.15*0.8*0.02*'18年合同登记表'!AD38/'18年合同登记表'!$M38</f>
        <v>0</v>
      </c>
      <c r="AD44" s="122">
        <f>客服部最终提成计算表!$X46*0.15*0.8*0.85*'18年合同登记表'!AF38/'18年合同登记表'!$M38</f>
        <v>0</v>
      </c>
      <c r="AE44" s="122">
        <f>客服部最终提成计算表!$X46*0.15*0.8*0.08*'18年合同登记表'!AF38/'18年合同登记表'!$M38</f>
        <v>0</v>
      </c>
      <c r="AF44" s="122">
        <f>客服部最终提成计算表!$X46*0.15*0.8*0.05*'18年合同登记表'!AF38/'18年合同登记表'!$M38</f>
        <v>0</v>
      </c>
      <c r="AG44" s="122">
        <f>客服部最终提成计算表!$X46*0.15*0.8*0.02*'18年合同登记表'!AF38/'18年合同登记表'!$M38</f>
        <v>0</v>
      </c>
      <c r="AH44" s="122">
        <f>客服部最终提成计算表!$X46*0.15*0.8*0.85*'18年合同登记表'!AH38/'18年合同登记表'!$M38</f>
        <v>0</v>
      </c>
      <c r="AI44" s="122">
        <f>客服部最终提成计算表!$X46*0.15*0.8*0.08*'18年合同登记表'!AH38/'18年合同登记表'!$M38</f>
        <v>0</v>
      </c>
      <c r="AJ44" s="122">
        <f>客服部最终提成计算表!$X46*0.15*0.8*0.05*'18年合同登记表'!AH38/'18年合同登记表'!$M38</f>
        <v>0</v>
      </c>
      <c r="AK44" s="122">
        <f>客服部最终提成计算表!$X46*0.15*0.8*0.02*'18年合同登记表'!AH38/'18年合同登记表'!$M38</f>
        <v>0</v>
      </c>
      <c r="AL44" s="122">
        <f>客服部最终提成计算表!$X46*0.15*0.8*0.85*'18年合同登记表'!AJ38/'18年合同登记表'!$M38</f>
        <v>0</v>
      </c>
      <c r="AM44" s="122">
        <f>客服部最终提成计算表!$X46*0.15*0.8*0.08*'18年合同登记表'!AJ38/'18年合同登记表'!$M38</f>
        <v>0</v>
      </c>
      <c r="AN44" s="122">
        <f>客服部最终提成计算表!$X46*0.15*0.8*0.05*'18年合同登记表'!AJ38/'18年合同登记表'!$M38</f>
        <v>0</v>
      </c>
      <c r="AO44" s="122">
        <f>客服部最终提成计算表!$X46*0.15*0.8*0.02*'18年合同登记表'!AJ38/'18年合同登记表'!$M38</f>
        <v>0</v>
      </c>
      <c r="AP44" s="122">
        <f>客服部最终提成计算表!$X46*0.15*0.8*0.85*'18年合同登记表'!AL38/'18年合同登记表'!$M38</f>
        <v>0</v>
      </c>
      <c r="AQ44" s="122">
        <f>客服部最终提成计算表!$X46*0.15*0.8*0.08*'18年合同登记表'!AL38/'18年合同登记表'!$M38</f>
        <v>0</v>
      </c>
      <c r="AR44" s="122">
        <f>客服部最终提成计算表!$X46*0.15*0.8*0.05*'18年合同登记表'!AL38/'18年合同登记表'!$M38</f>
        <v>0</v>
      </c>
      <c r="AS44" s="122">
        <f>客服部最终提成计算表!$X46*0.15*0.8*0.02*'18年合同登记表'!AL38/'18年合同登记表'!$M38</f>
        <v>0</v>
      </c>
      <c r="AT44" s="122">
        <f>客服部最终提成计算表!$X46*0.15*0.8*0.85*'18年合同登记表'!AN38/'18年合同登记表'!$M38</f>
        <v>0</v>
      </c>
      <c r="AU44" s="122">
        <f>客服部最终提成计算表!$X46*0.15*0.8*0.08*'18年合同登记表'!AN38/'18年合同登记表'!$M38</f>
        <v>0</v>
      </c>
      <c r="AV44" s="122">
        <f>客服部最终提成计算表!$X46*0.15*0.8*0.05*'18年合同登记表'!AN38/'18年合同登记表'!$M38</f>
        <v>0</v>
      </c>
      <c r="AW44" s="122">
        <f>客服部最终提成计算表!$X46*0.15*0.8*0.02*'18年合同登记表'!AN38/'18年合同登记表'!$M38</f>
        <v>0</v>
      </c>
      <c r="AX44" s="122">
        <f>客服部最终提成计算表!$X46*0.15*0.8*0.85*'18年合同登记表'!AP38/'18年合同登记表'!$M38</f>
        <v>0</v>
      </c>
      <c r="AY44" s="122">
        <f>客服部最终提成计算表!$X46*0.15*0.8*0.08*'18年合同登记表'!AP38/'18年合同登记表'!$M38</f>
        <v>0</v>
      </c>
      <c r="AZ44" s="122">
        <f>客服部最终提成计算表!$X46*0.15*0.8*0.05*'18年合同登记表'!AP38/'18年合同登记表'!$M38</f>
        <v>0</v>
      </c>
      <c r="BA44" s="131">
        <f>客服部最终提成计算表!$X46*0.15*0.8*0.02*'18年合同登记表'!AP38/'18年合同登记表'!$M38</f>
        <v>0</v>
      </c>
    </row>
    <row r="45" s="104" customFormat="1" ht="14.25" spans="1:53">
      <c r="A45" s="117"/>
      <c r="B45" s="118" t="str">
        <f>'18年合同登记表'!F39</f>
        <v>博源置业</v>
      </c>
      <c r="C45" s="119" t="str">
        <f>'18年合同登记表'!H39</f>
        <v>NHY-20180307-L-01-01-030</v>
      </c>
      <c r="D45" s="119" t="str">
        <f>'18年合同登记表'!I39</f>
        <v>中央空调年度维保</v>
      </c>
      <c r="E45" s="120" t="str">
        <f>'18年合同登记表'!L39</f>
        <v>陈勇/</v>
      </c>
      <c r="F45" s="121">
        <f>客服部最终提成计算表!$X47*0.15*0.8*0.85*'18年合同登记表'!T39/'18年合同登记表'!$M39</f>
        <v>0</v>
      </c>
      <c r="G45" s="122">
        <f>客服部最终提成计算表!$X47*0.15*0.8*0.08*'18年合同登记表'!T39/'18年合同登记表'!$M39</f>
        <v>0</v>
      </c>
      <c r="H45" s="122">
        <f>客服部最终提成计算表!$X47*0.15*0.8*0.05*'18年合同登记表'!T39/'18年合同登记表'!$M39</f>
        <v>0</v>
      </c>
      <c r="I45" s="122">
        <f>客服部最终提成计算表!$X47*0.15*0.8*0.02*'18年合同登记表'!T39/'18年合同登记表'!$M39</f>
        <v>0</v>
      </c>
      <c r="J45" s="122">
        <f>客服部最终提成计算表!$X47*0.15*0.8*0.85*'18年合同登记表'!V39/'18年合同登记表'!$M39</f>
        <v>0</v>
      </c>
      <c r="K45" s="122">
        <f>客服部最终提成计算表!$X47*0.15*0.8*0.08*'18年合同登记表'!V39/'18年合同登记表'!$M39</f>
        <v>0</v>
      </c>
      <c r="L45" s="122">
        <f>客服部最终提成计算表!$X47*0.15*0.8*0.05*'18年合同登记表'!V39/'18年合同登记表'!$M39</f>
        <v>0</v>
      </c>
      <c r="M45" s="122">
        <f>客服部最终提成计算表!$X47*0.15*0.8*0.02*'18年合同登记表'!V39/'18年合同登记表'!$M39</f>
        <v>0</v>
      </c>
      <c r="N45" s="122">
        <f>客服部最终提成计算表!$X47*0.15*0.8*0.85*'18年合同登记表'!X39/'18年合同登记表'!$M39</f>
        <v>0</v>
      </c>
      <c r="O45" s="122">
        <f>客服部最终提成计算表!$X47*0.15*0.8*0.08*'18年合同登记表'!X39/'18年合同登记表'!$M39</f>
        <v>0</v>
      </c>
      <c r="P45" s="122">
        <f>客服部最终提成计算表!$X47*0.15*0.8*0.05*'18年合同登记表'!X39/'18年合同登记表'!$M39</f>
        <v>0</v>
      </c>
      <c r="Q45" s="122">
        <f>客服部最终提成计算表!$X47*0.15*0.8*0.02*'18年合同登记表'!X39/'18年合同登记表'!$M39</f>
        <v>0</v>
      </c>
      <c r="R45" s="122">
        <f>客服部最终提成计算表!$X47*0.15*0.8*0.85*'18年合同登记表'!Z39/'18年合同登记表'!$M39</f>
        <v>0</v>
      </c>
      <c r="S45" s="122">
        <f>客服部最终提成计算表!$X47*0.15*0.8*0.08*'18年合同登记表'!Z39/'18年合同登记表'!$M39</f>
        <v>0</v>
      </c>
      <c r="T45" s="122">
        <f>客服部最终提成计算表!$X47*0.15*0.8*0.05*'18年合同登记表'!Z39/'18年合同登记表'!$M39</f>
        <v>0</v>
      </c>
      <c r="U45" s="122">
        <f>客服部最终提成计算表!$X47*0.15*0.8*0.02*'18年合同登记表'!Z39/'18年合同登记表'!$M39</f>
        <v>0</v>
      </c>
      <c r="V45" s="122">
        <f>客服部最终提成计算表!$X47*0.15*0.8*0.85*'18年合同登记表'!AB39/'18年合同登记表'!$M39</f>
        <v>2692.8</v>
      </c>
      <c r="W45" s="122">
        <f>客服部最终提成计算表!$X47*0.15*0.8*0.08*'18年合同登记表'!AB39/'18年合同登记表'!$M39</f>
        <v>253.44</v>
      </c>
      <c r="X45" s="122">
        <f>客服部最终提成计算表!$X47*0.15*0.8*0.05*'18年合同登记表'!AB39/'18年合同登记表'!$M39</f>
        <v>158.4</v>
      </c>
      <c r="Y45" s="122">
        <f>客服部最终提成计算表!$X47*0.15*0.8*0.02*'18年合同登记表'!AB39/'18年合同登记表'!$M39</f>
        <v>63.36</v>
      </c>
      <c r="Z45" s="122">
        <f>客服部最终提成计算表!$X47*0.15*0.8*0.85*'18年合同登记表'!AD39/'18年合同登记表'!$M39</f>
        <v>3366</v>
      </c>
      <c r="AA45" s="122">
        <f>客服部最终提成计算表!$X47*0.15*0.8*0.08*'18年合同登记表'!AD39/'18年合同登记表'!$M39</f>
        <v>316.8</v>
      </c>
      <c r="AB45" s="122">
        <f>客服部最终提成计算表!$X47*0.15*0.8*0.05*'18年合同登记表'!AD39/'18年合同登记表'!$M39</f>
        <v>198</v>
      </c>
      <c r="AC45" s="122">
        <f>客服部最终提成计算表!$X47*0.15*0.8*0.02*'18年合同登记表'!AD39/'18年合同登记表'!$M39</f>
        <v>79.2</v>
      </c>
      <c r="AD45" s="122">
        <f>客服部最终提成计算表!$X47*0.15*0.8*0.85*'18年合同登记表'!AF39/'18年合同登记表'!$M39</f>
        <v>0</v>
      </c>
      <c r="AE45" s="122">
        <f>客服部最终提成计算表!$X47*0.15*0.8*0.08*'18年合同登记表'!AF39/'18年合同登记表'!$M39</f>
        <v>0</v>
      </c>
      <c r="AF45" s="122">
        <f>客服部最终提成计算表!$X47*0.15*0.8*0.05*'18年合同登记表'!AF39/'18年合同登记表'!$M39</f>
        <v>0</v>
      </c>
      <c r="AG45" s="122">
        <f>客服部最终提成计算表!$X47*0.15*0.8*0.02*'18年合同登记表'!AF39/'18年合同登记表'!$M39</f>
        <v>0</v>
      </c>
      <c r="AH45" s="122">
        <f>客服部最终提成计算表!$X47*0.15*0.8*0.85*'18年合同登记表'!AH39/'18年合同登记表'!$M39</f>
        <v>0</v>
      </c>
      <c r="AI45" s="122">
        <f>客服部最终提成计算表!$X47*0.15*0.8*0.08*'18年合同登记表'!AH39/'18年合同登记表'!$M39</f>
        <v>0</v>
      </c>
      <c r="AJ45" s="122">
        <f>客服部最终提成计算表!$X47*0.15*0.8*0.05*'18年合同登记表'!AH39/'18年合同登记表'!$M39</f>
        <v>0</v>
      </c>
      <c r="AK45" s="122">
        <f>客服部最终提成计算表!$X47*0.15*0.8*0.02*'18年合同登记表'!AH39/'18年合同登记表'!$M39</f>
        <v>0</v>
      </c>
      <c r="AL45" s="122">
        <f>客服部最终提成计算表!$X47*0.15*0.8*0.85*'18年合同登记表'!AJ39/'18年合同登记表'!$M39</f>
        <v>0</v>
      </c>
      <c r="AM45" s="122">
        <f>客服部最终提成计算表!$X47*0.15*0.8*0.08*'18年合同登记表'!AJ39/'18年合同登记表'!$M39</f>
        <v>0</v>
      </c>
      <c r="AN45" s="122">
        <f>客服部最终提成计算表!$X47*0.15*0.8*0.05*'18年合同登记表'!AJ39/'18年合同登记表'!$M39</f>
        <v>0</v>
      </c>
      <c r="AO45" s="122">
        <f>客服部最终提成计算表!$X47*0.15*0.8*0.02*'18年合同登记表'!AJ39/'18年合同登记表'!$M39</f>
        <v>0</v>
      </c>
      <c r="AP45" s="122">
        <f>客服部最终提成计算表!$X47*0.15*0.8*0.85*'18年合同登记表'!AL39/'18年合同登记表'!$M39</f>
        <v>0</v>
      </c>
      <c r="AQ45" s="122">
        <f>客服部最终提成计算表!$X47*0.15*0.8*0.08*'18年合同登记表'!AL39/'18年合同登记表'!$M39</f>
        <v>0</v>
      </c>
      <c r="AR45" s="122">
        <f>客服部最终提成计算表!$X47*0.15*0.8*0.05*'18年合同登记表'!AL39/'18年合同登记表'!$M39</f>
        <v>0</v>
      </c>
      <c r="AS45" s="122">
        <f>客服部最终提成计算表!$X47*0.15*0.8*0.02*'18年合同登记表'!AL39/'18年合同登记表'!$M39</f>
        <v>0</v>
      </c>
      <c r="AT45" s="122">
        <f>客服部最终提成计算表!$X47*0.15*0.8*0.85*'18年合同登记表'!AN39/'18年合同登记表'!$M39</f>
        <v>0</v>
      </c>
      <c r="AU45" s="122">
        <f>客服部最终提成计算表!$X47*0.15*0.8*0.08*'18年合同登记表'!AN39/'18年合同登记表'!$M39</f>
        <v>0</v>
      </c>
      <c r="AV45" s="122">
        <f>客服部最终提成计算表!$X47*0.15*0.8*0.05*'18年合同登记表'!AN39/'18年合同登记表'!$M39</f>
        <v>0</v>
      </c>
      <c r="AW45" s="122">
        <f>客服部最终提成计算表!$X47*0.15*0.8*0.02*'18年合同登记表'!AN39/'18年合同登记表'!$M39</f>
        <v>0</v>
      </c>
      <c r="AX45" s="122">
        <f>客服部最终提成计算表!$X47*0.15*0.8*0.85*'18年合同登记表'!AP39/'18年合同登记表'!$M39</f>
        <v>0</v>
      </c>
      <c r="AY45" s="122">
        <f>客服部最终提成计算表!$X47*0.15*0.8*0.08*'18年合同登记表'!AP39/'18年合同登记表'!$M39</f>
        <v>0</v>
      </c>
      <c r="AZ45" s="122">
        <f>客服部最终提成计算表!$X47*0.15*0.8*0.05*'18年合同登记表'!AP39/'18年合同登记表'!$M39</f>
        <v>0</v>
      </c>
      <c r="BA45" s="131">
        <f>客服部最终提成计算表!$X47*0.15*0.8*0.02*'18年合同登记表'!AP39/'18年合同登记表'!$M39</f>
        <v>0</v>
      </c>
    </row>
    <row r="46" s="104" customFormat="1" ht="14.25" spans="1:53">
      <c r="A46" s="117"/>
      <c r="B46" s="118" t="str">
        <f>'18年合同登记表'!F40</f>
        <v>承德中滦</v>
      </c>
      <c r="C46" s="119" t="str">
        <f>'18年合同登记表'!H40</f>
        <v>ZL-CL-201803220902</v>
      </c>
      <c r="D46" s="119" t="str">
        <f>'18年合同登记表'!I40</f>
        <v>6台制冷机维护保养及清洗</v>
      </c>
      <c r="E46" s="120" t="str">
        <f>'18年合同登记表'!L40</f>
        <v>陈勇/</v>
      </c>
      <c r="F46" s="121">
        <f>客服部最终提成计算表!$X48*0.15*0.8*0.85*'18年合同登记表'!T40/'18年合同登记表'!$M40</f>
        <v>0</v>
      </c>
      <c r="G46" s="122">
        <f>客服部最终提成计算表!$X48*0.15*0.8*0.08*'18年合同登记表'!T40/'18年合同登记表'!$M40</f>
        <v>0</v>
      </c>
      <c r="H46" s="122">
        <f>客服部最终提成计算表!$X48*0.15*0.8*0.05*'18年合同登记表'!T40/'18年合同登记表'!$M40</f>
        <v>0</v>
      </c>
      <c r="I46" s="122">
        <f>客服部最终提成计算表!$X48*0.15*0.8*0.02*'18年合同登记表'!T40/'18年合同登记表'!$M40</f>
        <v>0</v>
      </c>
      <c r="J46" s="122">
        <f>客服部最终提成计算表!$X48*0.15*0.8*0.85*'18年合同登记表'!V40/'18年合同登记表'!$M40</f>
        <v>0</v>
      </c>
      <c r="K46" s="122">
        <f>客服部最终提成计算表!$X48*0.15*0.8*0.08*'18年合同登记表'!V40/'18年合同登记表'!$M40</f>
        <v>0</v>
      </c>
      <c r="L46" s="122">
        <f>客服部最终提成计算表!$X48*0.15*0.8*0.05*'18年合同登记表'!V40/'18年合同登记表'!$M40</f>
        <v>0</v>
      </c>
      <c r="M46" s="122">
        <f>客服部最终提成计算表!$X48*0.15*0.8*0.02*'18年合同登记表'!V40/'18年合同登记表'!$M40</f>
        <v>0</v>
      </c>
      <c r="N46" s="122">
        <f>客服部最终提成计算表!$X48*0.15*0.8*0.85*'18年合同登记表'!X40/'18年合同登记表'!$M40</f>
        <v>0</v>
      </c>
      <c r="O46" s="122">
        <f>客服部最终提成计算表!$X48*0.15*0.8*0.08*'18年合同登记表'!X40/'18年合同登记表'!$M40</f>
        <v>0</v>
      </c>
      <c r="P46" s="122">
        <f>客服部最终提成计算表!$X48*0.15*0.8*0.05*'18年合同登记表'!X40/'18年合同登记表'!$M40</f>
        <v>0</v>
      </c>
      <c r="Q46" s="122">
        <f>客服部最终提成计算表!$X48*0.15*0.8*0.02*'18年合同登记表'!X40/'18年合同登记表'!$M40</f>
        <v>0</v>
      </c>
      <c r="R46" s="122">
        <f>客服部最终提成计算表!$X48*0.15*0.8*0.85*'18年合同登记表'!Z40/'18年合同登记表'!$M40</f>
        <v>0</v>
      </c>
      <c r="S46" s="122">
        <f>客服部最终提成计算表!$X48*0.15*0.8*0.08*'18年合同登记表'!Z40/'18年合同登记表'!$M40</f>
        <v>0</v>
      </c>
      <c r="T46" s="122">
        <f>客服部最终提成计算表!$X48*0.15*0.8*0.05*'18年合同登记表'!Z40/'18年合同登记表'!$M40</f>
        <v>0</v>
      </c>
      <c r="U46" s="122">
        <f>客服部最终提成计算表!$X48*0.15*0.8*0.02*'18年合同登记表'!Z40/'18年合同登记表'!$M40</f>
        <v>0</v>
      </c>
      <c r="V46" s="122">
        <f>客服部最终提成计算表!$X48*0.15*0.8*0.85*'18年合同登记表'!AB40/'18年合同登记表'!$M40</f>
        <v>0</v>
      </c>
      <c r="W46" s="122">
        <f>客服部最终提成计算表!$X48*0.15*0.8*0.08*'18年合同登记表'!AB40/'18年合同登记表'!$M40</f>
        <v>0</v>
      </c>
      <c r="X46" s="122">
        <f>客服部最终提成计算表!$X48*0.15*0.8*0.05*'18年合同登记表'!AB40/'18年合同登记表'!$M40</f>
        <v>0</v>
      </c>
      <c r="Y46" s="122">
        <f>客服部最终提成计算表!$X48*0.15*0.8*0.02*'18年合同登记表'!AB40/'18年合同登记表'!$M40</f>
        <v>0</v>
      </c>
      <c r="Z46" s="122">
        <f>客服部最终提成计算表!$X48*0.15*0.8*0.85*'18年合同登记表'!AD40/'18年合同登记表'!$M40</f>
        <v>0</v>
      </c>
      <c r="AA46" s="122">
        <f>客服部最终提成计算表!$X48*0.15*0.8*0.08*'18年合同登记表'!AD40/'18年合同登记表'!$M40</f>
        <v>0</v>
      </c>
      <c r="AB46" s="122">
        <f>客服部最终提成计算表!$X48*0.15*0.8*0.05*'18年合同登记表'!AD40/'18年合同登记表'!$M40</f>
        <v>0</v>
      </c>
      <c r="AC46" s="122">
        <f>客服部最终提成计算表!$X48*0.15*0.8*0.02*'18年合同登记表'!AD40/'18年合同登记表'!$M40</f>
        <v>0</v>
      </c>
      <c r="AD46" s="122">
        <f>客服部最终提成计算表!$X48*0.15*0.8*0.85*'18年合同登记表'!AF40/'18年合同登记表'!$M40</f>
        <v>0</v>
      </c>
      <c r="AE46" s="122">
        <f>客服部最终提成计算表!$X48*0.15*0.8*0.08*'18年合同登记表'!AF40/'18年合同登记表'!$M40</f>
        <v>0</v>
      </c>
      <c r="AF46" s="122">
        <f>客服部最终提成计算表!$X48*0.15*0.8*0.05*'18年合同登记表'!AF40/'18年合同登记表'!$M40</f>
        <v>0</v>
      </c>
      <c r="AG46" s="122">
        <f>客服部最终提成计算表!$X48*0.15*0.8*0.02*'18年合同登记表'!AF40/'18年合同登记表'!$M40</f>
        <v>0</v>
      </c>
      <c r="AH46" s="122">
        <f>客服部最终提成计算表!$X48*0.15*0.8*0.85*'18年合同登记表'!AH40/'18年合同登记表'!$M40</f>
        <v>0</v>
      </c>
      <c r="AI46" s="122">
        <f>客服部最终提成计算表!$X48*0.15*0.8*0.08*'18年合同登记表'!AH40/'18年合同登记表'!$M40</f>
        <v>0</v>
      </c>
      <c r="AJ46" s="122">
        <f>客服部最终提成计算表!$X48*0.15*0.8*0.05*'18年合同登记表'!AH40/'18年合同登记表'!$M40</f>
        <v>0</v>
      </c>
      <c r="AK46" s="122">
        <f>客服部最终提成计算表!$X48*0.15*0.8*0.02*'18年合同登记表'!AH40/'18年合同登记表'!$M40</f>
        <v>0</v>
      </c>
      <c r="AL46" s="122">
        <f>客服部最终提成计算表!$X48*0.15*0.8*0.85*'18年合同登记表'!AJ40/'18年合同登记表'!$M40</f>
        <v>0</v>
      </c>
      <c r="AM46" s="122">
        <f>客服部最终提成计算表!$X48*0.15*0.8*0.08*'18年合同登记表'!AJ40/'18年合同登记表'!$M40</f>
        <v>0</v>
      </c>
      <c r="AN46" s="122">
        <f>客服部最终提成计算表!$X48*0.15*0.8*0.05*'18年合同登记表'!AJ40/'18年合同登记表'!$M40</f>
        <v>0</v>
      </c>
      <c r="AO46" s="122">
        <f>客服部最终提成计算表!$X48*0.15*0.8*0.02*'18年合同登记表'!AJ40/'18年合同登记表'!$M40</f>
        <v>0</v>
      </c>
      <c r="AP46" s="122">
        <f>客服部最终提成计算表!$X48*0.15*0.8*0.85*'18年合同登记表'!AL40/'18年合同登记表'!$M40</f>
        <v>0</v>
      </c>
      <c r="AQ46" s="122">
        <f>客服部最终提成计算表!$X48*0.15*0.8*0.08*'18年合同登记表'!AL40/'18年合同登记表'!$M40</f>
        <v>0</v>
      </c>
      <c r="AR46" s="122">
        <f>客服部最终提成计算表!$X48*0.15*0.8*0.05*'18年合同登记表'!AL40/'18年合同登记表'!$M40</f>
        <v>0</v>
      </c>
      <c r="AS46" s="122">
        <f>客服部最终提成计算表!$X48*0.15*0.8*0.02*'18年合同登记表'!AL40/'18年合同登记表'!$M40</f>
        <v>0</v>
      </c>
      <c r="AT46" s="122">
        <f>客服部最终提成计算表!$X48*0.15*0.8*0.85*'18年合同登记表'!AN40/'18年合同登记表'!$M40</f>
        <v>0</v>
      </c>
      <c r="AU46" s="122">
        <f>客服部最终提成计算表!$X48*0.15*0.8*0.08*'18年合同登记表'!AN40/'18年合同登记表'!$M40</f>
        <v>0</v>
      </c>
      <c r="AV46" s="122">
        <f>客服部最终提成计算表!$X48*0.15*0.8*0.05*'18年合同登记表'!AN40/'18年合同登记表'!$M40</f>
        <v>0</v>
      </c>
      <c r="AW46" s="122">
        <f>客服部最终提成计算表!$X48*0.15*0.8*0.02*'18年合同登记表'!AN40/'18年合同登记表'!$M40</f>
        <v>0</v>
      </c>
      <c r="AX46" s="122">
        <f>客服部最终提成计算表!$X48*0.15*0.8*0.85*'18年合同登记表'!AP40/'18年合同登记表'!$M40</f>
        <v>0</v>
      </c>
      <c r="AY46" s="122">
        <f>客服部最终提成计算表!$X48*0.15*0.8*0.08*'18年合同登记表'!AP40/'18年合同登记表'!$M40</f>
        <v>0</v>
      </c>
      <c r="AZ46" s="122">
        <f>客服部最终提成计算表!$X48*0.15*0.8*0.05*'18年合同登记表'!AP40/'18年合同登记表'!$M40</f>
        <v>0</v>
      </c>
      <c r="BA46" s="131">
        <f>客服部最终提成计算表!$X48*0.15*0.8*0.02*'18年合同登记表'!AP40/'18年合同登记表'!$M40</f>
        <v>0</v>
      </c>
    </row>
    <row r="47" s="104" customFormat="1" ht="14.25" spans="1:53">
      <c r="A47" s="117"/>
      <c r="B47" s="118" t="e">
        <f>'18年合同登记表'!#REF!</f>
        <v>#REF!</v>
      </c>
      <c r="C47" s="119" t="e">
        <f>'18年合同登记表'!#REF!</f>
        <v>#REF!</v>
      </c>
      <c r="D47" s="119" t="e">
        <f>'18年合同登记表'!#REF!</f>
        <v>#REF!</v>
      </c>
      <c r="E47" s="120" t="e">
        <f>'18年合同登记表'!#REF!</f>
        <v>#REF!</v>
      </c>
      <c r="F47" s="121" t="e">
        <f>客服部最终提成计算表!$X49*0.15*0.8*0.85*'18年合同登记表'!T41/'18年合同登记表'!#REF!</f>
        <v>#REF!</v>
      </c>
      <c r="G47" s="122" t="e">
        <f>客服部最终提成计算表!$X49*0.15*0.8*0.08*'18年合同登记表'!T41/'18年合同登记表'!#REF!</f>
        <v>#REF!</v>
      </c>
      <c r="H47" s="122" t="e">
        <f>客服部最终提成计算表!$X49*0.15*0.8*0.05*'18年合同登记表'!T41/'18年合同登记表'!#REF!</f>
        <v>#REF!</v>
      </c>
      <c r="I47" s="122" t="e">
        <f>客服部最终提成计算表!$X49*0.15*0.8*0.02*'18年合同登记表'!T41/'18年合同登记表'!#REF!</f>
        <v>#REF!</v>
      </c>
      <c r="J47" s="122" t="e">
        <f>客服部最终提成计算表!$X49*0.15*0.8*0.85*'18年合同登记表'!V41/'18年合同登记表'!#REF!</f>
        <v>#REF!</v>
      </c>
      <c r="K47" s="122" t="e">
        <f>客服部最终提成计算表!$X49*0.15*0.8*0.08*'18年合同登记表'!V41/'18年合同登记表'!#REF!</f>
        <v>#REF!</v>
      </c>
      <c r="L47" s="122" t="e">
        <f>客服部最终提成计算表!$X49*0.15*0.8*0.05*'18年合同登记表'!V41/'18年合同登记表'!#REF!</f>
        <v>#REF!</v>
      </c>
      <c r="M47" s="122" t="e">
        <f>客服部最终提成计算表!$X49*0.15*0.8*0.02*'18年合同登记表'!V41/'18年合同登记表'!#REF!</f>
        <v>#REF!</v>
      </c>
      <c r="N47" s="122" t="e">
        <f>客服部最终提成计算表!$X49*0.15*0.8*0.85*'18年合同登记表'!X41/'18年合同登记表'!#REF!</f>
        <v>#REF!</v>
      </c>
      <c r="O47" s="122" t="e">
        <f>客服部最终提成计算表!$X49*0.15*0.8*0.08*'18年合同登记表'!X41/'18年合同登记表'!#REF!</f>
        <v>#REF!</v>
      </c>
      <c r="P47" s="122" t="e">
        <f>客服部最终提成计算表!$X49*0.15*0.8*0.05*'18年合同登记表'!X41/'18年合同登记表'!#REF!</f>
        <v>#REF!</v>
      </c>
      <c r="Q47" s="122" t="e">
        <f>客服部最终提成计算表!$X49*0.15*0.8*0.02*'18年合同登记表'!X41/'18年合同登记表'!#REF!</f>
        <v>#REF!</v>
      </c>
      <c r="R47" s="122" t="e">
        <f>客服部最终提成计算表!$X49*0.15*0.8*0.85*'18年合同登记表'!Z41/'18年合同登记表'!#REF!</f>
        <v>#REF!</v>
      </c>
      <c r="S47" s="122" t="e">
        <f>客服部最终提成计算表!$X49*0.15*0.8*0.08*'18年合同登记表'!Z41/'18年合同登记表'!#REF!</f>
        <v>#REF!</v>
      </c>
      <c r="T47" s="122" t="e">
        <f>客服部最终提成计算表!$X49*0.15*0.8*0.05*'18年合同登记表'!Z41/'18年合同登记表'!#REF!</f>
        <v>#REF!</v>
      </c>
      <c r="U47" s="122" t="e">
        <f>客服部最终提成计算表!$X49*0.15*0.8*0.02*'18年合同登记表'!Z41/'18年合同登记表'!#REF!</f>
        <v>#REF!</v>
      </c>
      <c r="V47" s="122" t="e">
        <f>客服部最终提成计算表!$X49*0.15*0.8*0.85*'18年合同登记表'!AB41/'18年合同登记表'!#REF!</f>
        <v>#REF!</v>
      </c>
      <c r="W47" s="122" t="e">
        <f>客服部最终提成计算表!$X49*0.15*0.8*0.08*'18年合同登记表'!AB41/'18年合同登记表'!#REF!</f>
        <v>#REF!</v>
      </c>
      <c r="X47" s="122" t="e">
        <f>客服部最终提成计算表!$X49*0.15*0.8*0.05*'18年合同登记表'!AB41/'18年合同登记表'!#REF!</f>
        <v>#REF!</v>
      </c>
      <c r="Y47" s="122" t="e">
        <f>客服部最终提成计算表!$X49*0.15*0.8*0.02*'18年合同登记表'!AB41/'18年合同登记表'!#REF!</f>
        <v>#REF!</v>
      </c>
      <c r="Z47" s="122" t="e">
        <f>客服部最终提成计算表!$X49*0.15*0.8*0.85*'18年合同登记表'!AD41/'18年合同登记表'!#REF!</f>
        <v>#REF!</v>
      </c>
      <c r="AA47" s="122" t="e">
        <f>客服部最终提成计算表!$X49*0.15*0.8*0.08*'18年合同登记表'!AD41/'18年合同登记表'!#REF!</f>
        <v>#REF!</v>
      </c>
      <c r="AB47" s="122" t="e">
        <f>客服部最终提成计算表!$X49*0.15*0.8*0.05*'18年合同登记表'!AD41/'18年合同登记表'!#REF!</f>
        <v>#REF!</v>
      </c>
      <c r="AC47" s="122" t="e">
        <f>客服部最终提成计算表!$X49*0.15*0.8*0.02*'18年合同登记表'!AD41/'18年合同登记表'!#REF!</f>
        <v>#REF!</v>
      </c>
      <c r="AD47" s="122" t="e">
        <f>客服部最终提成计算表!$X49*0.15*0.8*0.85*'18年合同登记表'!AF41/'18年合同登记表'!#REF!</f>
        <v>#REF!</v>
      </c>
      <c r="AE47" s="122" t="e">
        <f>客服部最终提成计算表!$X49*0.15*0.8*0.08*'18年合同登记表'!AF41/'18年合同登记表'!#REF!</f>
        <v>#REF!</v>
      </c>
      <c r="AF47" s="122" t="e">
        <f>客服部最终提成计算表!$X49*0.15*0.8*0.05*'18年合同登记表'!AF41/'18年合同登记表'!#REF!</f>
        <v>#REF!</v>
      </c>
      <c r="AG47" s="122" t="e">
        <f>客服部最终提成计算表!$X49*0.15*0.8*0.02*'18年合同登记表'!AF41/'18年合同登记表'!#REF!</f>
        <v>#REF!</v>
      </c>
      <c r="AH47" s="122" t="e">
        <f>客服部最终提成计算表!$X49*0.15*0.8*0.85*'18年合同登记表'!AH41/'18年合同登记表'!#REF!</f>
        <v>#REF!</v>
      </c>
      <c r="AI47" s="122" t="e">
        <f>客服部最终提成计算表!$X49*0.15*0.8*0.08*'18年合同登记表'!AH41/'18年合同登记表'!#REF!</f>
        <v>#REF!</v>
      </c>
      <c r="AJ47" s="122" t="e">
        <f>客服部最终提成计算表!$X49*0.15*0.8*0.05*'18年合同登记表'!AH41/'18年合同登记表'!#REF!</f>
        <v>#REF!</v>
      </c>
      <c r="AK47" s="122" t="e">
        <f>客服部最终提成计算表!$X49*0.15*0.8*0.02*'18年合同登记表'!AH41/'18年合同登记表'!#REF!</f>
        <v>#REF!</v>
      </c>
      <c r="AL47" s="122" t="e">
        <f>客服部最终提成计算表!$X49*0.15*0.8*0.85*'18年合同登记表'!AJ41/'18年合同登记表'!#REF!</f>
        <v>#REF!</v>
      </c>
      <c r="AM47" s="122" t="e">
        <f>客服部最终提成计算表!$X49*0.15*0.8*0.08*'18年合同登记表'!AJ41/'18年合同登记表'!#REF!</f>
        <v>#REF!</v>
      </c>
      <c r="AN47" s="122" t="e">
        <f>客服部最终提成计算表!$X49*0.15*0.8*0.05*'18年合同登记表'!AJ41/'18年合同登记表'!#REF!</f>
        <v>#REF!</v>
      </c>
      <c r="AO47" s="122" t="e">
        <f>客服部最终提成计算表!$X49*0.15*0.8*0.02*'18年合同登记表'!AJ41/'18年合同登记表'!#REF!</f>
        <v>#REF!</v>
      </c>
      <c r="AP47" s="122" t="e">
        <f>客服部最终提成计算表!$X49*0.15*0.8*0.85*'18年合同登记表'!AL41/'18年合同登记表'!#REF!</f>
        <v>#REF!</v>
      </c>
      <c r="AQ47" s="122" t="e">
        <f>客服部最终提成计算表!$X49*0.15*0.8*0.08*'18年合同登记表'!AL41/'18年合同登记表'!#REF!</f>
        <v>#REF!</v>
      </c>
      <c r="AR47" s="122" t="e">
        <f>客服部最终提成计算表!$X49*0.15*0.8*0.05*'18年合同登记表'!AL41/'18年合同登记表'!#REF!</f>
        <v>#REF!</v>
      </c>
      <c r="AS47" s="122" t="e">
        <f>客服部最终提成计算表!$X49*0.15*0.8*0.02*'18年合同登记表'!AL41/'18年合同登记表'!#REF!</f>
        <v>#REF!</v>
      </c>
      <c r="AT47" s="122" t="e">
        <f>客服部最终提成计算表!$X49*0.15*0.8*0.85*'18年合同登记表'!AN41/'18年合同登记表'!#REF!</f>
        <v>#REF!</v>
      </c>
      <c r="AU47" s="122" t="e">
        <f>客服部最终提成计算表!$X49*0.15*0.8*0.08*'18年合同登记表'!AN41/'18年合同登记表'!#REF!</f>
        <v>#REF!</v>
      </c>
      <c r="AV47" s="122" t="e">
        <f>客服部最终提成计算表!$X49*0.15*0.8*0.05*'18年合同登记表'!AN41/'18年合同登记表'!#REF!</f>
        <v>#REF!</v>
      </c>
      <c r="AW47" s="122" t="e">
        <f>客服部最终提成计算表!$X49*0.15*0.8*0.02*'18年合同登记表'!AN41/'18年合同登记表'!#REF!</f>
        <v>#REF!</v>
      </c>
      <c r="AX47" s="122" t="e">
        <f>客服部最终提成计算表!$X49*0.15*0.8*0.85*'18年合同登记表'!AP41/'18年合同登记表'!#REF!</f>
        <v>#REF!</v>
      </c>
      <c r="AY47" s="122" t="e">
        <f>客服部最终提成计算表!$X49*0.15*0.8*0.08*'18年合同登记表'!AP41/'18年合同登记表'!#REF!</f>
        <v>#REF!</v>
      </c>
      <c r="AZ47" s="122" t="e">
        <f>客服部最终提成计算表!$X49*0.15*0.8*0.05*'18年合同登记表'!AP41/'18年合同登记表'!#REF!</f>
        <v>#REF!</v>
      </c>
      <c r="BA47" s="131" t="e">
        <f>客服部最终提成计算表!$X49*0.15*0.8*0.02*'18年合同登记表'!AP41/'18年合同登记表'!#REF!</f>
        <v>#REF!</v>
      </c>
    </row>
    <row r="48" s="104" customFormat="1" ht="14.25" spans="1:53">
      <c r="A48" s="117"/>
      <c r="B48" s="118" t="str">
        <f>'18年合同登记表'!F51</f>
        <v>天信亮</v>
      </c>
      <c r="C48" s="119" t="str">
        <f>'18年合同登记表'!H51</f>
        <v>NHY-20180309-L-01-03-030</v>
      </c>
      <c r="D48" s="119" t="str">
        <f>'18年合同登记表'!I51</f>
        <v>开利螺杆机维保技术服务</v>
      </c>
      <c r="E48" s="120" t="str">
        <f>'18年合同登记表'!L51</f>
        <v>陈勇/</v>
      </c>
      <c r="F48" s="121">
        <f>客服部最终提成计算表!$X50*0.15*0.8*0.85*'18年合同登记表'!T42/'18年合同登记表'!$M51</f>
        <v>0</v>
      </c>
      <c r="G48" s="122">
        <f>客服部最终提成计算表!$X50*0.15*0.8*0.08*'18年合同登记表'!T42/'18年合同登记表'!$M51</f>
        <v>0</v>
      </c>
      <c r="H48" s="122">
        <f>客服部最终提成计算表!$X50*0.15*0.8*0.05*'18年合同登记表'!T42/'18年合同登记表'!$M51</f>
        <v>0</v>
      </c>
      <c r="I48" s="122">
        <f>客服部最终提成计算表!$X50*0.15*0.8*0.02*'18年合同登记表'!T42/'18年合同登记表'!$M51</f>
        <v>0</v>
      </c>
      <c r="J48" s="122">
        <f>客服部最终提成计算表!$X50*0.15*0.8*0.85*'18年合同登记表'!V42/'18年合同登记表'!$M51</f>
        <v>0</v>
      </c>
      <c r="K48" s="122">
        <f>客服部最终提成计算表!$X50*0.15*0.8*0.08*'18年合同登记表'!V42/'18年合同登记表'!$M51</f>
        <v>0</v>
      </c>
      <c r="L48" s="122">
        <f>客服部最终提成计算表!$X50*0.15*0.8*0.05*'18年合同登记表'!V42/'18年合同登记表'!$M51</f>
        <v>0</v>
      </c>
      <c r="M48" s="122">
        <f>客服部最终提成计算表!$X50*0.15*0.8*0.02*'18年合同登记表'!V42/'18年合同登记表'!$M51</f>
        <v>0</v>
      </c>
      <c r="N48" s="122">
        <f>客服部最终提成计算表!$X50*0.15*0.8*0.85*'18年合同登记表'!X42/'18年合同登记表'!$M51</f>
        <v>0</v>
      </c>
      <c r="O48" s="122">
        <f>客服部最终提成计算表!$X50*0.15*0.8*0.08*'18年合同登记表'!X42/'18年合同登记表'!$M51</f>
        <v>0</v>
      </c>
      <c r="P48" s="122">
        <f>客服部最终提成计算表!$X50*0.15*0.8*0.05*'18年合同登记表'!X42/'18年合同登记表'!$M51</f>
        <v>0</v>
      </c>
      <c r="Q48" s="122">
        <f>客服部最终提成计算表!$X50*0.15*0.8*0.02*'18年合同登记表'!X42/'18年合同登记表'!$M51</f>
        <v>0</v>
      </c>
      <c r="R48" s="122">
        <f>客服部最终提成计算表!$X50*0.15*0.8*0.85*'18年合同登记表'!Z42/'18年合同登记表'!$M51</f>
        <v>9082.08</v>
      </c>
      <c r="S48" s="122">
        <f>客服部最终提成计算表!$X50*0.15*0.8*0.08*'18年合同登记表'!Z42/'18年合同登记表'!$M51</f>
        <v>854.784</v>
      </c>
      <c r="T48" s="122">
        <f>客服部最终提成计算表!$X50*0.15*0.8*0.05*'18年合同登记表'!Z42/'18年合同登记表'!$M51</f>
        <v>534.24</v>
      </c>
      <c r="U48" s="122">
        <f>客服部最终提成计算表!$X50*0.15*0.8*0.02*'18年合同登记表'!Z42/'18年合同登记表'!$M51</f>
        <v>213.696</v>
      </c>
      <c r="V48" s="122">
        <f>客服部最终提成计算表!$X50*0.15*0.8*0.85*'18年合同登记表'!AB42/'18年合同登记表'!$M51</f>
        <v>0</v>
      </c>
      <c r="W48" s="122">
        <f>客服部最终提成计算表!$X50*0.15*0.8*0.08*'18年合同登记表'!AB42/'18年合同登记表'!$M51</f>
        <v>0</v>
      </c>
      <c r="X48" s="122">
        <f>客服部最终提成计算表!$X50*0.15*0.8*0.05*'18年合同登记表'!AB42/'18年合同登记表'!$M51</f>
        <v>0</v>
      </c>
      <c r="Y48" s="122">
        <f>客服部最终提成计算表!$X50*0.15*0.8*0.02*'18年合同登记表'!AB42/'18年合同登记表'!$M51</f>
        <v>0</v>
      </c>
      <c r="Z48" s="122">
        <f>客服部最终提成计算表!$X50*0.15*0.8*0.85*'18年合同登记表'!AD42/'18年合同登记表'!$M51</f>
        <v>0</v>
      </c>
      <c r="AA48" s="122">
        <f>客服部最终提成计算表!$X50*0.15*0.8*0.08*'18年合同登记表'!AD42/'18年合同登记表'!$M51</f>
        <v>0</v>
      </c>
      <c r="AB48" s="122">
        <f>客服部最终提成计算表!$X50*0.15*0.8*0.05*'18年合同登记表'!AD42/'18年合同登记表'!$M51</f>
        <v>0</v>
      </c>
      <c r="AC48" s="122">
        <f>客服部最终提成计算表!$X50*0.15*0.8*0.02*'18年合同登记表'!AD42/'18年合同登记表'!$M51</f>
        <v>0</v>
      </c>
      <c r="AD48" s="122">
        <f>客服部最终提成计算表!$X50*0.15*0.8*0.85*'18年合同登记表'!AF42/'18年合同登记表'!$M51</f>
        <v>0</v>
      </c>
      <c r="AE48" s="122">
        <f>客服部最终提成计算表!$X50*0.15*0.8*0.08*'18年合同登记表'!AF42/'18年合同登记表'!$M51</f>
        <v>0</v>
      </c>
      <c r="AF48" s="122">
        <f>客服部最终提成计算表!$X50*0.15*0.8*0.05*'18年合同登记表'!AF42/'18年合同登记表'!$M51</f>
        <v>0</v>
      </c>
      <c r="AG48" s="122">
        <f>客服部最终提成计算表!$X50*0.15*0.8*0.02*'18年合同登记表'!AF42/'18年合同登记表'!$M51</f>
        <v>0</v>
      </c>
      <c r="AH48" s="122">
        <f>客服部最终提成计算表!$X50*0.15*0.8*0.85*'18年合同登记表'!AH42/'18年合同登记表'!$M51</f>
        <v>0</v>
      </c>
      <c r="AI48" s="122">
        <f>客服部最终提成计算表!$X50*0.15*0.8*0.08*'18年合同登记表'!AH42/'18年合同登记表'!$M51</f>
        <v>0</v>
      </c>
      <c r="AJ48" s="122">
        <f>客服部最终提成计算表!$X50*0.15*0.8*0.05*'18年合同登记表'!AH42/'18年合同登记表'!$M51</f>
        <v>0</v>
      </c>
      <c r="AK48" s="122">
        <f>客服部最终提成计算表!$X50*0.15*0.8*0.02*'18年合同登记表'!AH42/'18年合同登记表'!$M51</f>
        <v>0</v>
      </c>
      <c r="AL48" s="122">
        <f>客服部最终提成计算表!$X50*0.15*0.8*0.85*'18年合同登记表'!AJ42/'18年合同登记表'!$M51</f>
        <v>0</v>
      </c>
      <c r="AM48" s="122">
        <f>客服部最终提成计算表!$X50*0.15*0.8*0.08*'18年合同登记表'!AJ42/'18年合同登记表'!$M51</f>
        <v>0</v>
      </c>
      <c r="AN48" s="122">
        <f>客服部最终提成计算表!$X50*0.15*0.8*0.05*'18年合同登记表'!AJ42/'18年合同登记表'!$M51</f>
        <v>0</v>
      </c>
      <c r="AO48" s="122">
        <f>客服部最终提成计算表!$X50*0.15*0.8*0.02*'18年合同登记表'!AJ42/'18年合同登记表'!$M51</f>
        <v>0</v>
      </c>
      <c r="AP48" s="122">
        <f>客服部最终提成计算表!$X50*0.15*0.8*0.85*'18年合同登记表'!AL42/'18年合同登记表'!$M51</f>
        <v>0</v>
      </c>
      <c r="AQ48" s="122">
        <f>客服部最终提成计算表!$X50*0.15*0.8*0.08*'18年合同登记表'!AL42/'18年合同登记表'!$M51</f>
        <v>0</v>
      </c>
      <c r="AR48" s="122">
        <f>客服部最终提成计算表!$X50*0.15*0.8*0.05*'18年合同登记表'!AL42/'18年合同登记表'!$M51</f>
        <v>0</v>
      </c>
      <c r="AS48" s="122">
        <f>客服部最终提成计算表!$X50*0.15*0.8*0.02*'18年合同登记表'!AL42/'18年合同登记表'!$M51</f>
        <v>0</v>
      </c>
      <c r="AT48" s="122">
        <f>客服部最终提成计算表!$X50*0.15*0.8*0.85*'18年合同登记表'!AN42/'18年合同登记表'!$M51</f>
        <v>0</v>
      </c>
      <c r="AU48" s="122">
        <f>客服部最终提成计算表!$X50*0.15*0.8*0.08*'18年合同登记表'!AN42/'18年合同登记表'!$M51</f>
        <v>0</v>
      </c>
      <c r="AV48" s="122">
        <f>客服部最终提成计算表!$X50*0.15*0.8*0.05*'18年合同登记表'!AN42/'18年合同登记表'!$M51</f>
        <v>0</v>
      </c>
      <c r="AW48" s="122">
        <f>客服部最终提成计算表!$X50*0.15*0.8*0.02*'18年合同登记表'!AN42/'18年合同登记表'!$M51</f>
        <v>0</v>
      </c>
      <c r="AX48" s="122">
        <f>客服部最终提成计算表!$X50*0.15*0.8*0.85*'18年合同登记表'!AP42/'18年合同登记表'!$M51</f>
        <v>0</v>
      </c>
      <c r="AY48" s="122">
        <f>客服部最终提成计算表!$X50*0.15*0.8*0.08*'18年合同登记表'!AP42/'18年合同登记表'!$M51</f>
        <v>0</v>
      </c>
      <c r="AZ48" s="122">
        <f>客服部最终提成计算表!$X50*0.15*0.8*0.05*'18年合同登记表'!AP42/'18年合同登记表'!$M51</f>
        <v>0</v>
      </c>
      <c r="BA48" s="131">
        <f>客服部最终提成计算表!$X50*0.15*0.8*0.02*'18年合同登记表'!AP42/'18年合同登记表'!$M51</f>
        <v>0</v>
      </c>
    </row>
    <row r="49" s="104" customFormat="1" ht="14.25" spans="1:53">
      <c r="A49" s="117"/>
      <c r="B49" s="118" t="e">
        <f>'18年合同登记表'!#REF!</f>
        <v>#REF!</v>
      </c>
      <c r="C49" s="119" t="e">
        <f>'18年合同登记表'!#REF!</f>
        <v>#REF!</v>
      </c>
      <c r="D49" s="119" t="e">
        <f>'18年合同登记表'!#REF!</f>
        <v>#REF!</v>
      </c>
      <c r="E49" s="120" t="e">
        <f>'18年合同登记表'!#REF!</f>
        <v>#REF!</v>
      </c>
      <c r="F49" s="121" t="e">
        <f>客服部最终提成计算表!$X51*0.15*0.8*0.85*'18年合同登记表'!#REF!/'18年合同登记表'!#REF!</f>
        <v>#REF!</v>
      </c>
      <c r="G49" s="122" t="e">
        <f>客服部最终提成计算表!$X51*0.15*0.8*0.08*'18年合同登记表'!#REF!/'18年合同登记表'!#REF!</f>
        <v>#REF!</v>
      </c>
      <c r="H49" s="122" t="e">
        <f>客服部最终提成计算表!$X51*0.15*0.8*0.05*'18年合同登记表'!#REF!/'18年合同登记表'!#REF!</f>
        <v>#REF!</v>
      </c>
      <c r="I49" s="122" t="e">
        <f>客服部最终提成计算表!$X51*0.15*0.8*0.02*'18年合同登记表'!#REF!/'18年合同登记表'!#REF!</f>
        <v>#REF!</v>
      </c>
      <c r="J49" s="122" t="e">
        <f>客服部最终提成计算表!$X51*0.15*0.8*0.85*'18年合同登记表'!#REF!/'18年合同登记表'!#REF!</f>
        <v>#REF!</v>
      </c>
      <c r="K49" s="122" t="e">
        <f>客服部最终提成计算表!$X51*0.15*0.8*0.08*'18年合同登记表'!#REF!/'18年合同登记表'!#REF!</f>
        <v>#REF!</v>
      </c>
      <c r="L49" s="122" t="e">
        <f>客服部最终提成计算表!$X51*0.15*0.8*0.05*'18年合同登记表'!#REF!/'18年合同登记表'!#REF!</f>
        <v>#REF!</v>
      </c>
      <c r="M49" s="122" t="e">
        <f>客服部最终提成计算表!$X51*0.15*0.8*0.02*'18年合同登记表'!#REF!/'18年合同登记表'!#REF!</f>
        <v>#REF!</v>
      </c>
      <c r="N49" s="122" t="e">
        <f>客服部最终提成计算表!$X51*0.15*0.8*0.85*'18年合同登记表'!#REF!/'18年合同登记表'!#REF!</f>
        <v>#REF!</v>
      </c>
      <c r="O49" s="122" t="e">
        <f>客服部最终提成计算表!$X51*0.15*0.8*0.08*'18年合同登记表'!#REF!/'18年合同登记表'!#REF!</f>
        <v>#REF!</v>
      </c>
      <c r="P49" s="122" t="e">
        <f>客服部最终提成计算表!$X51*0.15*0.8*0.05*'18年合同登记表'!#REF!/'18年合同登记表'!#REF!</f>
        <v>#REF!</v>
      </c>
      <c r="Q49" s="122" t="e">
        <f>客服部最终提成计算表!$X51*0.15*0.8*0.02*'18年合同登记表'!#REF!/'18年合同登记表'!#REF!</f>
        <v>#REF!</v>
      </c>
      <c r="R49" s="122" t="e">
        <f>客服部最终提成计算表!$X51*0.15*0.8*0.85*'18年合同登记表'!#REF!/'18年合同登记表'!#REF!</f>
        <v>#REF!</v>
      </c>
      <c r="S49" s="122" t="e">
        <f>客服部最终提成计算表!$X51*0.15*0.8*0.08*'18年合同登记表'!#REF!/'18年合同登记表'!#REF!</f>
        <v>#REF!</v>
      </c>
      <c r="T49" s="122" t="e">
        <f>客服部最终提成计算表!$X51*0.15*0.8*0.05*'18年合同登记表'!#REF!/'18年合同登记表'!#REF!</f>
        <v>#REF!</v>
      </c>
      <c r="U49" s="122" t="e">
        <f>客服部最终提成计算表!$X51*0.15*0.8*0.02*'18年合同登记表'!#REF!/'18年合同登记表'!#REF!</f>
        <v>#REF!</v>
      </c>
      <c r="V49" s="122" t="e">
        <f>客服部最终提成计算表!$X51*0.15*0.8*0.85*'18年合同登记表'!#REF!/'18年合同登记表'!#REF!</f>
        <v>#REF!</v>
      </c>
      <c r="W49" s="122" t="e">
        <f>客服部最终提成计算表!$X51*0.15*0.8*0.08*'18年合同登记表'!#REF!/'18年合同登记表'!#REF!</f>
        <v>#REF!</v>
      </c>
      <c r="X49" s="122" t="e">
        <f>客服部最终提成计算表!$X51*0.15*0.8*0.05*'18年合同登记表'!#REF!/'18年合同登记表'!#REF!</f>
        <v>#REF!</v>
      </c>
      <c r="Y49" s="122" t="e">
        <f>客服部最终提成计算表!$X51*0.15*0.8*0.02*'18年合同登记表'!#REF!/'18年合同登记表'!#REF!</f>
        <v>#REF!</v>
      </c>
      <c r="Z49" s="122" t="e">
        <f>客服部最终提成计算表!$X51*0.15*0.8*0.85*'18年合同登记表'!#REF!/'18年合同登记表'!#REF!</f>
        <v>#REF!</v>
      </c>
      <c r="AA49" s="122" t="e">
        <f>客服部最终提成计算表!$X51*0.15*0.8*0.08*'18年合同登记表'!#REF!/'18年合同登记表'!#REF!</f>
        <v>#REF!</v>
      </c>
      <c r="AB49" s="122" t="e">
        <f>客服部最终提成计算表!$X51*0.15*0.8*0.05*'18年合同登记表'!#REF!/'18年合同登记表'!#REF!</f>
        <v>#REF!</v>
      </c>
      <c r="AC49" s="122" t="e">
        <f>客服部最终提成计算表!$X51*0.15*0.8*0.02*'18年合同登记表'!#REF!/'18年合同登记表'!#REF!</f>
        <v>#REF!</v>
      </c>
      <c r="AD49" s="122" t="e">
        <f>客服部最终提成计算表!$X51*0.15*0.8*0.85*'18年合同登记表'!#REF!/'18年合同登记表'!#REF!</f>
        <v>#REF!</v>
      </c>
      <c r="AE49" s="122" t="e">
        <f>客服部最终提成计算表!$X51*0.15*0.8*0.08*'18年合同登记表'!#REF!/'18年合同登记表'!#REF!</f>
        <v>#REF!</v>
      </c>
      <c r="AF49" s="122" t="e">
        <f>客服部最终提成计算表!$X51*0.15*0.8*0.05*'18年合同登记表'!#REF!/'18年合同登记表'!#REF!</f>
        <v>#REF!</v>
      </c>
      <c r="AG49" s="122" t="e">
        <f>客服部最终提成计算表!$X51*0.15*0.8*0.02*'18年合同登记表'!#REF!/'18年合同登记表'!#REF!</f>
        <v>#REF!</v>
      </c>
      <c r="AH49" s="122" t="e">
        <f>客服部最终提成计算表!$X51*0.15*0.8*0.85*'18年合同登记表'!#REF!/'18年合同登记表'!#REF!</f>
        <v>#REF!</v>
      </c>
      <c r="AI49" s="122" t="e">
        <f>客服部最终提成计算表!$X51*0.15*0.8*0.08*'18年合同登记表'!#REF!/'18年合同登记表'!#REF!</f>
        <v>#REF!</v>
      </c>
      <c r="AJ49" s="122" t="e">
        <f>客服部最终提成计算表!$X51*0.15*0.8*0.05*'18年合同登记表'!#REF!/'18年合同登记表'!#REF!</f>
        <v>#REF!</v>
      </c>
      <c r="AK49" s="122" t="e">
        <f>客服部最终提成计算表!$X51*0.15*0.8*0.02*'18年合同登记表'!#REF!/'18年合同登记表'!#REF!</f>
        <v>#REF!</v>
      </c>
      <c r="AL49" s="122" t="e">
        <f>客服部最终提成计算表!$X51*0.15*0.8*0.85*'18年合同登记表'!#REF!/'18年合同登记表'!#REF!</f>
        <v>#REF!</v>
      </c>
      <c r="AM49" s="122" t="e">
        <f>客服部最终提成计算表!$X51*0.15*0.8*0.08*'18年合同登记表'!#REF!/'18年合同登记表'!#REF!</f>
        <v>#REF!</v>
      </c>
      <c r="AN49" s="122" t="e">
        <f>客服部最终提成计算表!$X51*0.15*0.8*0.05*'18年合同登记表'!#REF!/'18年合同登记表'!#REF!</f>
        <v>#REF!</v>
      </c>
      <c r="AO49" s="122" t="e">
        <f>客服部最终提成计算表!$X51*0.15*0.8*0.02*'18年合同登记表'!#REF!/'18年合同登记表'!#REF!</f>
        <v>#REF!</v>
      </c>
      <c r="AP49" s="122" t="e">
        <f>客服部最终提成计算表!$X51*0.15*0.8*0.85*'18年合同登记表'!#REF!/'18年合同登记表'!#REF!</f>
        <v>#REF!</v>
      </c>
      <c r="AQ49" s="122" t="e">
        <f>客服部最终提成计算表!$X51*0.15*0.8*0.08*'18年合同登记表'!#REF!/'18年合同登记表'!#REF!</f>
        <v>#REF!</v>
      </c>
      <c r="AR49" s="122" t="e">
        <f>客服部最终提成计算表!$X51*0.15*0.8*0.05*'18年合同登记表'!#REF!/'18年合同登记表'!#REF!</f>
        <v>#REF!</v>
      </c>
      <c r="AS49" s="122" t="e">
        <f>客服部最终提成计算表!$X51*0.15*0.8*0.02*'18年合同登记表'!#REF!/'18年合同登记表'!#REF!</f>
        <v>#REF!</v>
      </c>
      <c r="AT49" s="122" t="e">
        <f>客服部最终提成计算表!$X51*0.15*0.8*0.85*'18年合同登记表'!#REF!/'18年合同登记表'!#REF!</f>
        <v>#REF!</v>
      </c>
      <c r="AU49" s="122" t="e">
        <f>客服部最终提成计算表!$X51*0.15*0.8*0.08*'18年合同登记表'!#REF!/'18年合同登记表'!#REF!</f>
        <v>#REF!</v>
      </c>
      <c r="AV49" s="122" t="e">
        <f>客服部最终提成计算表!$X51*0.15*0.8*0.05*'18年合同登记表'!#REF!/'18年合同登记表'!#REF!</f>
        <v>#REF!</v>
      </c>
      <c r="AW49" s="122" t="e">
        <f>客服部最终提成计算表!$X51*0.15*0.8*0.02*'18年合同登记表'!#REF!/'18年合同登记表'!#REF!</f>
        <v>#REF!</v>
      </c>
      <c r="AX49" s="122" t="e">
        <f>客服部最终提成计算表!$X51*0.15*0.8*0.85*'18年合同登记表'!#REF!/'18年合同登记表'!#REF!</f>
        <v>#REF!</v>
      </c>
      <c r="AY49" s="122" t="e">
        <f>客服部最终提成计算表!$X51*0.15*0.8*0.08*'18年合同登记表'!#REF!/'18年合同登记表'!#REF!</f>
        <v>#REF!</v>
      </c>
      <c r="AZ49" s="122" t="e">
        <f>客服部最终提成计算表!$X51*0.15*0.8*0.05*'18年合同登记表'!#REF!/'18年合同登记表'!#REF!</f>
        <v>#REF!</v>
      </c>
      <c r="BA49" s="131" t="e">
        <f>客服部最终提成计算表!$X51*0.15*0.8*0.02*'18年合同登记表'!#REF!/'18年合同登记表'!#REF!</f>
        <v>#REF!</v>
      </c>
    </row>
    <row r="50" s="104" customFormat="1" ht="14.25" spans="1:53">
      <c r="A50" s="123" t="s">
        <v>976</v>
      </c>
      <c r="B50" s="124">
        <f>'18年合同登记表'!F44</f>
        <v>0</v>
      </c>
      <c r="C50" s="125">
        <f>'18年合同登记表'!H44</f>
        <v>0</v>
      </c>
      <c r="D50" s="125">
        <f>'18年合同登记表'!I44</f>
        <v>0</v>
      </c>
      <c r="E50" s="126">
        <f>'18年合同登记表'!L44</f>
        <v>0</v>
      </c>
      <c r="F50" s="127" t="e">
        <f>SUM(F42:F49)</f>
        <v>#REF!</v>
      </c>
      <c r="G50" s="128" t="e">
        <f>客服部最终提成计算表!$X52*0.15*0.8*0.08*'18年合同登记表'!T44/'18年合同登记表'!$M44</f>
        <v>#REF!</v>
      </c>
      <c r="H50" s="128" t="e">
        <f>客服部最终提成计算表!$X52*0.15*0.8*0.05*'18年合同登记表'!T44/'18年合同登记表'!$M44</f>
        <v>#REF!</v>
      </c>
      <c r="I50" s="128" t="e">
        <f>客服部最终提成计算表!$X52*0.15*0.8*0.02*'18年合同登记表'!T44/'18年合同登记表'!$M44</f>
        <v>#REF!</v>
      </c>
      <c r="J50" s="128" t="e">
        <f>客服部最终提成计算表!$X52*0.15*0.8*0.85*'18年合同登记表'!V44/'18年合同登记表'!$M44</f>
        <v>#REF!</v>
      </c>
      <c r="K50" s="128" t="e">
        <f>客服部最终提成计算表!$X52*0.15*0.8*0.08*'18年合同登记表'!V44/'18年合同登记表'!$M44</f>
        <v>#REF!</v>
      </c>
      <c r="L50" s="128" t="e">
        <f>客服部最终提成计算表!$X52*0.15*0.8*0.05*'18年合同登记表'!V44/'18年合同登记表'!$M44</f>
        <v>#REF!</v>
      </c>
      <c r="M50" s="128" t="e">
        <f>客服部最终提成计算表!$X52*0.15*0.8*0.02*'18年合同登记表'!V44/'18年合同登记表'!$M44</f>
        <v>#REF!</v>
      </c>
      <c r="N50" s="128" t="e">
        <f>客服部最终提成计算表!$X52*0.15*0.8*0.85*'18年合同登记表'!X44/'18年合同登记表'!$M44</f>
        <v>#REF!</v>
      </c>
      <c r="O50" s="128" t="e">
        <f>客服部最终提成计算表!$X52*0.15*0.8*0.08*'18年合同登记表'!X44/'18年合同登记表'!$M44</f>
        <v>#REF!</v>
      </c>
      <c r="P50" s="128" t="e">
        <f>客服部最终提成计算表!$X52*0.15*0.8*0.05*'18年合同登记表'!X44/'18年合同登记表'!$M44</f>
        <v>#REF!</v>
      </c>
      <c r="Q50" s="128" t="e">
        <f>客服部最终提成计算表!$X52*0.15*0.8*0.02*'18年合同登记表'!X44/'18年合同登记表'!$M44</f>
        <v>#REF!</v>
      </c>
      <c r="R50" s="128" t="e">
        <f>客服部最终提成计算表!$X52*0.15*0.8*0.85*'18年合同登记表'!Z44/'18年合同登记表'!$M44</f>
        <v>#REF!</v>
      </c>
      <c r="S50" s="128" t="e">
        <f>客服部最终提成计算表!$X52*0.15*0.8*0.08*'18年合同登记表'!Z44/'18年合同登记表'!$M44</f>
        <v>#REF!</v>
      </c>
      <c r="T50" s="128" t="e">
        <f>客服部最终提成计算表!$X52*0.15*0.8*0.05*'18年合同登记表'!Z44/'18年合同登记表'!$M44</f>
        <v>#REF!</v>
      </c>
      <c r="U50" s="128" t="e">
        <f>客服部最终提成计算表!$X52*0.15*0.8*0.02*'18年合同登记表'!Z44/'18年合同登记表'!$M44</f>
        <v>#REF!</v>
      </c>
      <c r="V50" s="128" t="e">
        <f>客服部最终提成计算表!$X52*0.15*0.8*0.85*'18年合同登记表'!AB44/'18年合同登记表'!$M44</f>
        <v>#REF!</v>
      </c>
      <c r="W50" s="128" t="e">
        <f>客服部最终提成计算表!$X52*0.15*0.8*0.08*'18年合同登记表'!AB44/'18年合同登记表'!$M44</f>
        <v>#REF!</v>
      </c>
      <c r="X50" s="128" t="e">
        <f>客服部最终提成计算表!$X52*0.15*0.8*0.05*'18年合同登记表'!AB44/'18年合同登记表'!$M44</f>
        <v>#REF!</v>
      </c>
      <c r="Y50" s="128" t="e">
        <f>客服部最终提成计算表!$X52*0.15*0.8*0.02*'18年合同登记表'!AB44/'18年合同登记表'!$M44</f>
        <v>#REF!</v>
      </c>
      <c r="Z50" s="128" t="e">
        <f>客服部最终提成计算表!$X52*0.15*0.8*0.85*'18年合同登记表'!AD44/'18年合同登记表'!$M44</f>
        <v>#REF!</v>
      </c>
      <c r="AA50" s="128" t="e">
        <f>客服部最终提成计算表!$X52*0.15*0.8*0.08*'18年合同登记表'!AD44/'18年合同登记表'!$M44</f>
        <v>#REF!</v>
      </c>
      <c r="AB50" s="128" t="e">
        <f>客服部最终提成计算表!$X52*0.15*0.8*0.05*'18年合同登记表'!AD44/'18年合同登记表'!$M44</f>
        <v>#REF!</v>
      </c>
      <c r="AC50" s="128" t="e">
        <f>客服部最终提成计算表!$X52*0.15*0.8*0.02*'18年合同登记表'!AD44/'18年合同登记表'!$M44</f>
        <v>#REF!</v>
      </c>
      <c r="AD50" s="128" t="e">
        <f>客服部最终提成计算表!$X52*0.15*0.8*0.85*'18年合同登记表'!AF44/'18年合同登记表'!$M44</f>
        <v>#REF!</v>
      </c>
      <c r="AE50" s="128" t="e">
        <f>客服部最终提成计算表!$X52*0.15*0.8*0.08*'18年合同登记表'!AF44/'18年合同登记表'!$M44</f>
        <v>#REF!</v>
      </c>
      <c r="AF50" s="128" t="e">
        <f>客服部最终提成计算表!$X52*0.15*0.8*0.05*'18年合同登记表'!AF44/'18年合同登记表'!$M44</f>
        <v>#REF!</v>
      </c>
      <c r="AG50" s="128" t="e">
        <f>客服部最终提成计算表!$X52*0.15*0.8*0.02*'18年合同登记表'!AF44/'18年合同登记表'!$M44</f>
        <v>#REF!</v>
      </c>
      <c r="AH50" s="128" t="e">
        <f>客服部最终提成计算表!$X52*0.15*0.8*0.85*'18年合同登记表'!AH44/'18年合同登记表'!$M44</f>
        <v>#REF!</v>
      </c>
      <c r="AI50" s="128" t="e">
        <f>客服部最终提成计算表!$X52*0.15*0.8*0.08*'18年合同登记表'!AH44/'18年合同登记表'!$M44</f>
        <v>#REF!</v>
      </c>
      <c r="AJ50" s="128" t="e">
        <f>客服部最终提成计算表!$X52*0.15*0.8*0.05*'18年合同登记表'!AH44/'18年合同登记表'!$M44</f>
        <v>#REF!</v>
      </c>
      <c r="AK50" s="128" t="e">
        <f>客服部最终提成计算表!$X52*0.15*0.8*0.02*'18年合同登记表'!AH44/'18年合同登记表'!$M44</f>
        <v>#REF!</v>
      </c>
      <c r="AL50" s="128" t="e">
        <f>客服部最终提成计算表!$X52*0.15*0.8*0.85*'18年合同登记表'!AJ44/'18年合同登记表'!$M44</f>
        <v>#REF!</v>
      </c>
      <c r="AM50" s="128" t="e">
        <f>客服部最终提成计算表!$X52*0.15*0.8*0.08*'18年合同登记表'!AJ44/'18年合同登记表'!$M44</f>
        <v>#REF!</v>
      </c>
      <c r="AN50" s="128" t="e">
        <f>客服部最终提成计算表!$X52*0.15*0.8*0.05*'18年合同登记表'!AJ44/'18年合同登记表'!$M44</f>
        <v>#REF!</v>
      </c>
      <c r="AO50" s="128" t="e">
        <f>客服部最终提成计算表!$X52*0.15*0.8*0.02*'18年合同登记表'!AJ44/'18年合同登记表'!$M44</f>
        <v>#REF!</v>
      </c>
      <c r="AP50" s="128" t="e">
        <f>客服部最终提成计算表!$X52*0.15*0.8*0.85*'18年合同登记表'!AL44/'18年合同登记表'!$M44</f>
        <v>#REF!</v>
      </c>
      <c r="AQ50" s="128" t="e">
        <f>客服部最终提成计算表!$X52*0.15*0.8*0.08*'18年合同登记表'!AL44/'18年合同登记表'!$M44</f>
        <v>#REF!</v>
      </c>
      <c r="AR50" s="128" t="e">
        <f>客服部最终提成计算表!$X52*0.15*0.8*0.05*'18年合同登记表'!AL44/'18年合同登记表'!$M44</f>
        <v>#REF!</v>
      </c>
      <c r="AS50" s="128" t="e">
        <f>客服部最终提成计算表!$X52*0.15*0.8*0.02*'18年合同登记表'!AL44/'18年合同登记表'!$M44</f>
        <v>#REF!</v>
      </c>
      <c r="AT50" s="128" t="e">
        <f>客服部最终提成计算表!$X52*0.15*0.8*0.85*'18年合同登记表'!AN44/'18年合同登记表'!$M44</f>
        <v>#REF!</v>
      </c>
      <c r="AU50" s="128" t="e">
        <f>客服部最终提成计算表!$X52*0.15*0.8*0.08*'18年合同登记表'!AN44/'18年合同登记表'!$M44</f>
        <v>#REF!</v>
      </c>
      <c r="AV50" s="128" t="e">
        <f>客服部最终提成计算表!$X52*0.15*0.8*0.05*'18年合同登记表'!AN44/'18年合同登记表'!$M44</f>
        <v>#REF!</v>
      </c>
      <c r="AW50" s="128" t="e">
        <f>客服部最终提成计算表!$X52*0.15*0.8*0.02*'18年合同登记表'!AN44/'18年合同登记表'!$M44</f>
        <v>#REF!</v>
      </c>
      <c r="AX50" s="128" t="e">
        <f>客服部最终提成计算表!$X52*0.15*0.8*0.85*'18年合同登记表'!AP44/'18年合同登记表'!$M44</f>
        <v>#REF!</v>
      </c>
      <c r="AY50" s="128" t="e">
        <f>客服部最终提成计算表!$X52*0.15*0.8*0.08*'18年合同登记表'!AP44/'18年合同登记表'!$M44</f>
        <v>#REF!</v>
      </c>
      <c r="AZ50" s="128" t="e">
        <f>客服部最终提成计算表!$X52*0.15*0.8*0.05*'18年合同登记表'!AP44/'18年合同登记表'!$M44</f>
        <v>#REF!</v>
      </c>
      <c r="BA50" s="132" t="e">
        <f>客服部最终提成计算表!$X52*0.15*0.8*0.02*'18年合同登记表'!AP44/'18年合同登记表'!$M44</f>
        <v>#REF!</v>
      </c>
    </row>
    <row r="51" s="104" customFormat="1" ht="14.25" spans="1:53">
      <c r="A51" s="123" t="s">
        <v>977</v>
      </c>
      <c r="B51" s="124">
        <f>'18年合同登记表'!F45</f>
        <v>0</v>
      </c>
      <c r="C51" s="125">
        <f>'18年合同登记表'!H45</f>
        <v>0</v>
      </c>
      <c r="D51" s="125">
        <f>'18年合同登记表'!I45</f>
        <v>0</v>
      </c>
      <c r="E51" s="126">
        <f>'18年合同登记表'!L45</f>
        <v>0</v>
      </c>
      <c r="F51" s="127" t="e">
        <f>F41+F50</f>
        <v>#REF!</v>
      </c>
      <c r="G51" s="127" t="e">
        <f t="shared" ref="G51" si="2">G41+G50</f>
        <v>#REF!</v>
      </c>
      <c r="H51" s="127" t="e">
        <f t="shared" ref="H51" si="3">H41+H50</f>
        <v>#REF!</v>
      </c>
      <c r="I51" s="127" t="e">
        <f t="shared" ref="I51" si="4">I41+I50</f>
        <v>#REF!</v>
      </c>
      <c r="J51" s="127" t="e">
        <f t="shared" ref="J51" si="5">J41+J50</f>
        <v>#REF!</v>
      </c>
      <c r="K51" s="127" t="e">
        <f t="shared" ref="K51" si="6">K41+K50</f>
        <v>#REF!</v>
      </c>
      <c r="L51" s="127" t="e">
        <f t="shared" ref="L51" si="7">L41+L50</f>
        <v>#REF!</v>
      </c>
      <c r="M51" s="127" t="e">
        <f t="shared" ref="M51" si="8">M41+M50</f>
        <v>#REF!</v>
      </c>
      <c r="N51" s="127" t="e">
        <f t="shared" ref="N51" si="9">N41+N50</f>
        <v>#REF!</v>
      </c>
      <c r="O51" s="127" t="e">
        <f t="shared" ref="O51" si="10">O41+O50</f>
        <v>#REF!</v>
      </c>
      <c r="P51" s="127" t="e">
        <f t="shared" ref="P51" si="11">P41+P50</f>
        <v>#REF!</v>
      </c>
      <c r="Q51" s="127" t="e">
        <f t="shared" ref="Q51" si="12">Q41+Q50</f>
        <v>#REF!</v>
      </c>
      <c r="R51" s="127" t="e">
        <f t="shared" ref="R51" si="13">R41+R50</f>
        <v>#REF!</v>
      </c>
      <c r="S51" s="127" t="e">
        <f t="shared" ref="S51" si="14">S41+S50</f>
        <v>#REF!</v>
      </c>
      <c r="T51" s="127" t="e">
        <f t="shared" ref="T51" si="15">T41+T50</f>
        <v>#REF!</v>
      </c>
      <c r="U51" s="127" t="e">
        <f t="shared" ref="U51" si="16">U41+U50</f>
        <v>#REF!</v>
      </c>
      <c r="V51" s="127" t="e">
        <f t="shared" ref="V51" si="17">V41+V50</f>
        <v>#REF!</v>
      </c>
      <c r="W51" s="127" t="e">
        <f t="shared" ref="W51" si="18">W41+W50</f>
        <v>#REF!</v>
      </c>
      <c r="X51" s="127" t="e">
        <f t="shared" ref="X51" si="19">X41+X50</f>
        <v>#REF!</v>
      </c>
      <c r="Y51" s="127" t="e">
        <f t="shared" ref="Y51" si="20">Y41+Y50</f>
        <v>#REF!</v>
      </c>
      <c r="Z51" s="127" t="e">
        <f t="shared" ref="Z51" si="21">Z41+Z50</f>
        <v>#REF!</v>
      </c>
      <c r="AA51" s="127" t="e">
        <f t="shared" ref="AA51" si="22">AA41+AA50</f>
        <v>#REF!</v>
      </c>
      <c r="AB51" s="127" t="e">
        <f t="shared" ref="AB51" si="23">AB41+AB50</f>
        <v>#REF!</v>
      </c>
      <c r="AC51" s="127" t="e">
        <f t="shared" ref="AC51" si="24">AC41+AC50</f>
        <v>#REF!</v>
      </c>
      <c r="AD51" s="127" t="e">
        <f t="shared" ref="AD51" si="25">AD41+AD50</f>
        <v>#REF!</v>
      </c>
      <c r="AE51" s="127" t="e">
        <f t="shared" ref="AE51" si="26">AE41+AE50</f>
        <v>#REF!</v>
      </c>
      <c r="AF51" s="127" t="e">
        <f t="shared" ref="AF51" si="27">AF41+AF50</f>
        <v>#REF!</v>
      </c>
      <c r="AG51" s="127" t="e">
        <f t="shared" ref="AG51" si="28">AG41+AG50</f>
        <v>#REF!</v>
      </c>
      <c r="AH51" s="127" t="e">
        <f t="shared" ref="AH51" si="29">AH41+AH50</f>
        <v>#REF!</v>
      </c>
      <c r="AI51" s="127" t="e">
        <f t="shared" ref="AI51" si="30">AI41+AI50</f>
        <v>#REF!</v>
      </c>
      <c r="AJ51" s="127" t="e">
        <f t="shared" ref="AJ51" si="31">AJ41+AJ50</f>
        <v>#REF!</v>
      </c>
      <c r="AK51" s="127" t="e">
        <f t="shared" ref="AK51" si="32">AK41+AK50</f>
        <v>#REF!</v>
      </c>
      <c r="AL51" s="127" t="e">
        <f t="shared" ref="AL51" si="33">AL41+AL50</f>
        <v>#REF!</v>
      </c>
      <c r="AM51" s="127" t="e">
        <f t="shared" ref="AM51" si="34">AM41+AM50</f>
        <v>#REF!</v>
      </c>
      <c r="AN51" s="127" t="e">
        <f t="shared" ref="AN51" si="35">AN41+AN50</f>
        <v>#REF!</v>
      </c>
      <c r="AO51" s="127" t="e">
        <f t="shared" ref="AO51" si="36">AO41+AO50</f>
        <v>#REF!</v>
      </c>
      <c r="AP51" s="127" t="e">
        <f t="shared" ref="AP51" si="37">AP41+AP50</f>
        <v>#REF!</v>
      </c>
      <c r="AQ51" s="127" t="e">
        <f t="shared" ref="AQ51" si="38">AQ41+AQ50</f>
        <v>#REF!</v>
      </c>
      <c r="AR51" s="127" t="e">
        <f t="shared" ref="AR51" si="39">AR41+AR50</f>
        <v>#REF!</v>
      </c>
      <c r="AS51" s="127" t="e">
        <f t="shared" ref="AS51" si="40">AS41+AS50</f>
        <v>#REF!</v>
      </c>
      <c r="AT51" s="127" t="e">
        <f t="shared" ref="AT51" si="41">AT41+AT50</f>
        <v>#REF!</v>
      </c>
      <c r="AU51" s="127" t="e">
        <f t="shared" ref="AU51" si="42">AU41+AU50</f>
        <v>#REF!</v>
      </c>
      <c r="AV51" s="127" t="e">
        <f t="shared" ref="AV51" si="43">AV41+AV50</f>
        <v>#REF!</v>
      </c>
      <c r="AW51" s="127" t="e">
        <f t="shared" ref="AW51" si="44">AW41+AW50</f>
        <v>#REF!</v>
      </c>
      <c r="AX51" s="127" t="e">
        <f t="shared" ref="AX51" si="45">AX41+AX50</f>
        <v>#REF!</v>
      </c>
      <c r="AY51" s="127" t="e">
        <f t="shared" ref="AY51" si="46">AY41+AY50</f>
        <v>#REF!</v>
      </c>
      <c r="AZ51" s="127" t="e">
        <f t="shared" ref="AZ51" si="47">AZ41+AZ50</f>
        <v>#REF!</v>
      </c>
      <c r="BA51" s="127" t="e">
        <f t="shared" ref="BA51" si="48">BA41+BA50</f>
        <v>#REF!</v>
      </c>
    </row>
    <row r="52" s="104" customFormat="1" ht="14.25" spans="1:53">
      <c r="A52" s="117"/>
      <c r="B52" s="118" t="str">
        <f>'18年合同登记表'!F46</f>
        <v>阿奇夏米尔</v>
      </c>
      <c r="C52" s="119" t="str">
        <f>'18年合同登记表'!H46</f>
        <v>NHY-20180302-L-01-01-045</v>
      </c>
      <c r="D52" s="119" t="str">
        <f>'18年合同登记表'!I46</f>
        <v>真空热水机组技术服务合同</v>
      </c>
      <c r="E52" s="120" t="str">
        <f>'18年合同登记表'!L46</f>
        <v>兰健</v>
      </c>
      <c r="F52" s="121">
        <f>客服部最终提成计算表!$X54*0.15*0.8*0.85*'18年合同登记表'!T46/'18年合同登记表'!$M46</f>
        <v>0</v>
      </c>
      <c r="G52" s="122">
        <f>客服部最终提成计算表!$X54*0.15*0.8*0.08*'18年合同登记表'!T46/'18年合同登记表'!$M46</f>
        <v>0</v>
      </c>
      <c r="H52" s="122">
        <f>客服部最终提成计算表!$X54*0.15*0.8*0.05*'18年合同登记表'!T46/'18年合同登记表'!$M46</f>
        <v>0</v>
      </c>
      <c r="I52" s="122">
        <f>客服部最终提成计算表!$X54*0.15*0.8*0.02*'18年合同登记表'!T46/'18年合同登记表'!$M46</f>
        <v>0</v>
      </c>
      <c r="J52" s="122">
        <f>客服部最终提成计算表!$X54*0.15*0.8*0.85*'18年合同登记表'!V46/'18年合同登记表'!$M46</f>
        <v>0</v>
      </c>
      <c r="K52" s="122">
        <f>客服部最终提成计算表!$X54*0.15*0.8*0.08*'18年合同登记表'!V46/'18年合同登记表'!$M46</f>
        <v>0</v>
      </c>
      <c r="L52" s="122">
        <f>客服部最终提成计算表!$X54*0.15*0.8*0.05*'18年合同登记表'!V46/'18年合同登记表'!$M46</f>
        <v>0</v>
      </c>
      <c r="M52" s="122">
        <f>客服部最终提成计算表!$X54*0.15*0.8*0.02*'18年合同登记表'!V46/'18年合同登记表'!$M46</f>
        <v>0</v>
      </c>
      <c r="N52" s="122">
        <f>客服部最终提成计算表!$X54*0.15*0.8*0.85*'18年合同登记表'!X46/'18年合同登记表'!$M46</f>
        <v>0</v>
      </c>
      <c r="O52" s="122">
        <f>客服部最终提成计算表!$X54*0.15*0.8*0.08*'18年合同登记表'!X46/'18年合同登记表'!$M46</f>
        <v>0</v>
      </c>
      <c r="P52" s="122">
        <f>客服部最终提成计算表!$X54*0.15*0.8*0.05*'18年合同登记表'!X46/'18年合同登记表'!$M46</f>
        <v>0</v>
      </c>
      <c r="Q52" s="122">
        <f>客服部最终提成计算表!$X54*0.15*0.8*0.02*'18年合同登记表'!X46/'18年合同登记表'!$M46</f>
        <v>0</v>
      </c>
      <c r="R52" s="122">
        <f>客服部最终提成计算表!$X54*0.15*0.8*0.85*'18年合同登记表'!Z46/'18年合同登记表'!$M46</f>
        <v>0</v>
      </c>
      <c r="S52" s="122">
        <f>客服部最终提成计算表!$X54*0.15*0.8*0.08*'18年合同登记表'!Z46/'18年合同登记表'!$M46</f>
        <v>0</v>
      </c>
      <c r="T52" s="122">
        <f>客服部最终提成计算表!$X54*0.15*0.8*0.05*'18年合同登记表'!Z46/'18年合同登记表'!$M46</f>
        <v>0</v>
      </c>
      <c r="U52" s="122">
        <f>客服部最终提成计算表!$X54*0.15*0.8*0.02*'18年合同登记表'!Z46/'18年合同登记表'!$M46</f>
        <v>0</v>
      </c>
      <c r="V52" s="122">
        <f>客服部最终提成计算表!$X54*0.15*0.8*0.85*'18年合同登记表'!AB46/'18年合同登记表'!$M46</f>
        <v>0</v>
      </c>
      <c r="W52" s="122">
        <f>客服部最终提成计算表!$X54*0.15*0.8*0.08*'18年合同登记表'!AB46/'18年合同登记表'!$M46</f>
        <v>0</v>
      </c>
      <c r="X52" s="122">
        <f>客服部最终提成计算表!$X54*0.15*0.8*0.05*'18年合同登记表'!AB46/'18年合同登记表'!$M46</f>
        <v>0</v>
      </c>
      <c r="Y52" s="122">
        <f>客服部最终提成计算表!$X54*0.15*0.8*0.02*'18年合同登记表'!AB46/'18年合同登记表'!$M46</f>
        <v>0</v>
      </c>
      <c r="Z52" s="122">
        <f>客服部最终提成计算表!$X54*0.15*0.8*0.85*'18年合同登记表'!AD46/'18年合同登记表'!$M46</f>
        <v>765</v>
      </c>
      <c r="AA52" s="122">
        <f>客服部最终提成计算表!$X54*0.15*0.8*0.08*'18年合同登记表'!AD46/'18年合同登记表'!$M46</f>
        <v>72</v>
      </c>
      <c r="AB52" s="122">
        <f>客服部最终提成计算表!$X54*0.15*0.8*0.05*'18年合同登记表'!AD46/'18年合同登记表'!$M46</f>
        <v>45</v>
      </c>
      <c r="AC52" s="122">
        <f>客服部最终提成计算表!$X54*0.15*0.8*0.02*'18年合同登记表'!AD46/'18年合同登记表'!$M46</f>
        <v>18</v>
      </c>
      <c r="AD52" s="122">
        <f>客服部最终提成计算表!$X54*0.15*0.8*0.85*'18年合同登记表'!AF46/'18年合同登记表'!$M46</f>
        <v>0</v>
      </c>
      <c r="AE52" s="122">
        <f>客服部最终提成计算表!$X54*0.15*0.8*0.08*'18年合同登记表'!AF46/'18年合同登记表'!$M46</f>
        <v>0</v>
      </c>
      <c r="AF52" s="122">
        <f>客服部最终提成计算表!$X54*0.15*0.8*0.05*'18年合同登记表'!AF46/'18年合同登记表'!$M46</f>
        <v>0</v>
      </c>
      <c r="AG52" s="122">
        <f>客服部最终提成计算表!$X54*0.15*0.8*0.02*'18年合同登记表'!AF46/'18年合同登记表'!$M46</f>
        <v>0</v>
      </c>
      <c r="AH52" s="122">
        <f>客服部最终提成计算表!$X54*0.15*0.8*0.85*'18年合同登记表'!AH46/'18年合同登记表'!$M46</f>
        <v>0</v>
      </c>
      <c r="AI52" s="122">
        <f>客服部最终提成计算表!$X54*0.15*0.8*0.08*'18年合同登记表'!AH46/'18年合同登记表'!$M46</f>
        <v>0</v>
      </c>
      <c r="AJ52" s="122">
        <f>客服部最终提成计算表!$X54*0.15*0.8*0.05*'18年合同登记表'!AH46/'18年合同登记表'!$M46</f>
        <v>0</v>
      </c>
      <c r="AK52" s="122">
        <f>客服部最终提成计算表!$X54*0.15*0.8*0.02*'18年合同登记表'!AH46/'18年合同登记表'!$M46</f>
        <v>0</v>
      </c>
      <c r="AL52" s="122">
        <f>客服部最终提成计算表!$X54*0.15*0.8*0.85*'18年合同登记表'!AJ46/'18年合同登记表'!$M46</f>
        <v>0</v>
      </c>
      <c r="AM52" s="122">
        <f>客服部最终提成计算表!$X54*0.15*0.8*0.08*'18年合同登记表'!AJ46/'18年合同登记表'!$M46</f>
        <v>0</v>
      </c>
      <c r="AN52" s="122">
        <f>客服部最终提成计算表!$X54*0.15*0.8*0.05*'18年合同登记表'!AJ46/'18年合同登记表'!$M46</f>
        <v>0</v>
      </c>
      <c r="AO52" s="122">
        <f>客服部最终提成计算表!$X54*0.15*0.8*0.02*'18年合同登记表'!AJ46/'18年合同登记表'!$M46</f>
        <v>0</v>
      </c>
      <c r="AP52" s="122">
        <f>客服部最终提成计算表!$X54*0.15*0.8*0.85*'18年合同登记表'!AL46/'18年合同登记表'!$M46</f>
        <v>0</v>
      </c>
      <c r="AQ52" s="122">
        <f>客服部最终提成计算表!$X54*0.15*0.8*0.08*'18年合同登记表'!AL46/'18年合同登记表'!$M46</f>
        <v>0</v>
      </c>
      <c r="AR52" s="122">
        <f>客服部最终提成计算表!$X54*0.15*0.8*0.05*'18年合同登记表'!AL46/'18年合同登记表'!$M46</f>
        <v>0</v>
      </c>
      <c r="AS52" s="122">
        <f>客服部最终提成计算表!$X54*0.15*0.8*0.02*'18年合同登记表'!AL46/'18年合同登记表'!$M46</f>
        <v>0</v>
      </c>
      <c r="AT52" s="122">
        <f>客服部最终提成计算表!$X54*0.15*0.8*0.85*'18年合同登记表'!AN46/'18年合同登记表'!$M46</f>
        <v>0</v>
      </c>
      <c r="AU52" s="122">
        <f>客服部最终提成计算表!$X54*0.15*0.8*0.08*'18年合同登记表'!AN46/'18年合同登记表'!$M46</f>
        <v>0</v>
      </c>
      <c r="AV52" s="122">
        <f>客服部最终提成计算表!$X54*0.15*0.8*0.05*'18年合同登记表'!AN46/'18年合同登记表'!$M46</f>
        <v>0</v>
      </c>
      <c r="AW52" s="122">
        <f>客服部最终提成计算表!$X54*0.15*0.8*0.02*'18年合同登记表'!AN46/'18年合同登记表'!$M46</f>
        <v>0</v>
      </c>
      <c r="AX52" s="122">
        <f>客服部最终提成计算表!$X54*0.15*0.8*0.85*'18年合同登记表'!AP46/'18年合同登记表'!$M46</f>
        <v>0</v>
      </c>
      <c r="AY52" s="122">
        <f>客服部最终提成计算表!$X54*0.15*0.8*0.08*'18年合同登记表'!AP46/'18年合同登记表'!$M46</f>
        <v>0</v>
      </c>
      <c r="AZ52" s="122">
        <f>客服部最终提成计算表!$X54*0.15*0.8*0.05*'18年合同登记表'!AP46/'18年合同登记表'!$M46</f>
        <v>0</v>
      </c>
      <c r="BA52" s="131">
        <f>客服部最终提成计算表!$X54*0.15*0.8*0.02*'18年合同登记表'!AP46/'18年合同登记表'!$M46</f>
        <v>0</v>
      </c>
    </row>
    <row r="53" s="104" customFormat="1" ht="14.25" spans="1:53">
      <c r="A53" s="117"/>
      <c r="B53" s="118" t="str">
        <f>'18年合同登记表'!F47</f>
        <v>长城汽车</v>
      </c>
      <c r="C53" s="119" t="str">
        <f>'18年合同登记表'!H47</f>
        <v>DLYJY1800335</v>
      </c>
      <c r="D53" s="119" t="str">
        <f>'18年合同登记表'!I47</f>
        <v>制冷机组维修保养</v>
      </c>
      <c r="E53" s="120" t="str">
        <f>'18年合同登记表'!L47</f>
        <v>陈勇/</v>
      </c>
      <c r="F53" s="121">
        <f>客服部最终提成计算表!$X55*0.15*0.8*0.85*'18年合同登记表'!T47/'18年合同登记表'!$M47</f>
        <v>0</v>
      </c>
      <c r="G53" s="122">
        <f>客服部最终提成计算表!$X55*0.15*0.8*0.08*'18年合同登记表'!T47/'18年合同登记表'!$M47</f>
        <v>0</v>
      </c>
      <c r="H53" s="122">
        <f>客服部最终提成计算表!$X55*0.15*0.8*0.05*'18年合同登记表'!T47/'18年合同登记表'!$M47</f>
        <v>0</v>
      </c>
      <c r="I53" s="122">
        <f>客服部最终提成计算表!$X55*0.15*0.8*0.02*'18年合同登记表'!T47/'18年合同登记表'!$M47</f>
        <v>0</v>
      </c>
      <c r="J53" s="122">
        <f>客服部最终提成计算表!$X55*0.15*0.8*0.85*'18年合同登记表'!V47/'18年合同登记表'!$M47</f>
        <v>0</v>
      </c>
      <c r="K53" s="122">
        <f>客服部最终提成计算表!$X55*0.15*0.8*0.08*'18年合同登记表'!V47/'18年合同登记表'!$M47</f>
        <v>0</v>
      </c>
      <c r="L53" s="122">
        <f>客服部最终提成计算表!$X55*0.15*0.8*0.05*'18年合同登记表'!V47/'18年合同登记表'!$M47</f>
        <v>0</v>
      </c>
      <c r="M53" s="122">
        <f>客服部最终提成计算表!$X55*0.15*0.8*0.02*'18年合同登记表'!V47/'18年合同登记表'!$M47</f>
        <v>0</v>
      </c>
      <c r="N53" s="122">
        <f>客服部最终提成计算表!$X55*0.15*0.8*0.85*'18年合同登记表'!X47/'18年合同登记表'!$M47</f>
        <v>0</v>
      </c>
      <c r="O53" s="122">
        <f>客服部最终提成计算表!$X55*0.15*0.8*0.08*'18年合同登记表'!X47/'18年合同登记表'!$M47</f>
        <v>0</v>
      </c>
      <c r="P53" s="122">
        <f>客服部最终提成计算表!$X55*0.15*0.8*0.05*'18年合同登记表'!X47/'18年合同登记表'!$M47</f>
        <v>0</v>
      </c>
      <c r="Q53" s="122">
        <f>客服部最终提成计算表!$X55*0.15*0.8*0.02*'18年合同登记表'!X47/'18年合同登记表'!$M47</f>
        <v>0</v>
      </c>
      <c r="R53" s="122">
        <f>客服部最终提成计算表!$X55*0.15*0.8*0.85*'18年合同登记表'!Z47/'18年合同登记表'!$M47</f>
        <v>809.0232</v>
      </c>
      <c r="S53" s="122">
        <f>客服部最终提成计算表!$X55*0.15*0.8*0.08*'18年合同登记表'!Z47/'18年合同登记表'!$M47</f>
        <v>76.14336</v>
      </c>
      <c r="T53" s="122">
        <f>客服部最终提成计算表!$X55*0.15*0.8*0.05*'18年合同登记表'!Z47/'18年合同登记表'!$M47</f>
        <v>47.5896</v>
      </c>
      <c r="U53" s="122">
        <f>客服部最终提成计算表!$X55*0.15*0.8*0.02*'18年合同登记表'!Z47/'18年合同登记表'!$M47</f>
        <v>19.03584</v>
      </c>
      <c r="V53" s="122">
        <f>客服部最终提成计算表!$X55*0.15*0.8*0.85*'18年合同登记表'!AB47/'18年合同登记表'!$M47</f>
        <v>0</v>
      </c>
      <c r="W53" s="122">
        <f>客服部最终提成计算表!$X55*0.15*0.8*0.08*'18年合同登记表'!AB47/'18年合同登记表'!$M47</f>
        <v>0</v>
      </c>
      <c r="X53" s="122">
        <f>客服部最终提成计算表!$X55*0.15*0.8*0.05*'18年合同登记表'!AB47/'18年合同登记表'!$M47</f>
        <v>0</v>
      </c>
      <c r="Y53" s="122">
        <f>客服部最终提成计算表!$X55*0.15*0.8*0.02*'18年合同登记表'!AB47/'18年合同登记表'!$M47</f>
        <v>0</v>
      </c>
      <c r="Z53" s="122">
        <f>客服部最终提成计算表!$X55*0.15*0.8*0.85*'18年合同登记表'!AD47/'18年合同登记表'!$M47</f>
        <v>0</v>
      </c>
      <c r="AA53" s="122">
        <f>客服部最终提成计算表!$X55*0.15*0.8*0.08*'18年合同登记表'!AD47/'18年合同登记表'!$M47</f>
        <v>0</v>
      </c>
      <c r="AB53" s="122">
        <f>客服部最终提成计算表!$X55*0.15*0.8*0.05*'18年合同登记表'!AD47/'18年合同登记表'!$M47</f>
        <v>0</v>
      </c>
      <c r="AC53" s="122">
        <f>客服部最终提成计算表!$X55*0.15*0.8*0.02*'18年合同登记表'!AD47/'18年合同登记表'!$M47</f>
        <v>0</v>
      </c>
      <c r="AD53" s="122">
        <f>客服部最终提成计算表!$X55*0.15*0.8*0.85*'18年合同登记表'!AF47/'18年合同登记表'!$M47</f>
        <v>0</v>
      </c>
      <c r="AE53" s="122">
        <f>客服部最终提成计算表!$X55*0.15*0.8*0.08*'18年合同登记表'!AF47/'18年合同登记表'!$M47</f>
        <v>0</v>
      </c>
      <c r="AF53" s="122">
        <f>客服部最终提成计算表!$X55*0.15*0.8*0.05*'18年合同登记表'!AF47/'18年合同登记表'!$M47</f>
        <v>0</v>
      </c>
      <c r="AG53" s="122">
        <f>客服部最终提成计算表!$X55*0.15*0.8*0.02*'18年合同登记表'!AF47/'18年合同登记表'!$M47</f>
        <v>0</v>
      </c>
      <c r="AH53" s="122">
        <f>客服部最终提成计算表!$X55*0.15*0.8*0.85*'18年合同登记表'!AH47/'18年合同登记表'!$M47</f>
        <v>0</v>
      </c>
      <c r="AI53" s="122">
        <f>客服部最终提成计算表!$X55*0.15*0.8*0.08*'18年合同登记表'!AH47/'18年合同登记表'!$M47</f>
        <v>0</v>
      </c>
      <c r="AJ53" s="122">
        <f>客服部最终提成计算表!$X55*0.15*0.8*0.05*'18年合同登记表'!AH47/'18年合同登记表'!$M47</f>
        <v>0</v>
      </c>
      <c r="AK53" s="122">
        <f>客服部最终提成计算表!$X55*0.15*0.8*0.02*'18年合同登记表'!AH47/'18年合同登记表'!$M47</f>
        <v>0</v>
      </c>
      <c r="AL53" s="122">
        <f>客服部最终提成计算表!$X55*0.15*0.8*0.85*'18年合同登记表'!AJ47/'18年合同登记表'!$M47</f>
        <v>0</v>
      </c>
      <c r="AM53" s="122">
        <f>客服部最终提成计算表!$X55*0.15*0.8*0.08*'18年合同登记表'!AJ47/'18年合同登记表'!$M47</f>
        <v>0</v>
      </c>
      <c r="AN53" s="122">
        <f>客服部最终提成计算表!$X55*0.15*0.8*0.05*'18年合同登记表'!AJ47/'18年合同登记表'!$M47</f>
        <v>0</v>
      </c>
      <c r="AO53" s="122">
        <f>客服部最终提成计算表!$X55*0.15*0.8*0.02*'18年合同登记表'!AJ47/'18年合同登记表'!$M47</f>
        <v>0</v>
      </c>
      <c r="AP53" s="122">
        <f>客服部最终提成计算表!$X55*0.15*0.8*0.85*'18年合同登记表'!AL47/'18年合同登记表'!$M47</f>
        <v>0</v>
      </c>
      <c r="AQ53" s="122">
        <f>客服部最终提成计算表!$X55*0.15*0.8*0.08*'18年合同登记表'!AL47/'18年合同登记表'!$M47</f>
        <v>0</v>
      </c>
      <c r="AR53" s="122">
        <f>客服部最终提成计算表!$X55*0.15*0.8*0.05*'18年合同登记表'!AL47/'18年合同登记表'!$M47</f>
        <v>0</v>
      </c>
      <c r="AS53" s="122">
        <f>客服部最终提成计算表!$X55*0.15*0.8*0.02*'18年合同登记表'!AL47/'18年合同登记表'!$M47</f>
        <v>0</v>
      </c>
      <c r="AT53" s="122">
        <f>客服部最终提成计算表!$X55*0.15*0.8*0.85*'18年合同登记表'!AN47/'18年合同登记表'!$M47</f>
        <v>0</v>
      </c>
      <c r="AU53" s="122">
        <f>客服部最终提成计算表!$X55*0.15*0.8*0.08*'18年合同登记表'!AN47/'18年合同登记表'!$M47</f>
        <v>0</v>
      </c>
      <c r="AV53" s="122">
        <f>客服部最终提成计算表!$X55*0.15*0.8*0.05*'18年合同登记表'!AN47/'18年合同登记表'!$M47</f>
        <v>0</v>
      </c>
      <c r="AW53" s="122">
        <f>客服部最终提成计算表!$X55*0.15*0.8*0.02*'18年合同登记表'!AN47/'18年合同登记表'!$M47</f>
        <v>0</v>
      </c>
      <c r="AX53" s="122">
        <f>客服部最终提成计算表!$X55*0.15*0.8*0.85*'18年合同登记表'!AP47/'18年合同登记表'!$M47</f>
        <v>0</v>
      </c>
      <c r="AY53" s="122">
        <f>客服部最终提成计算表!$X55*0.15*0.8*0.08*'18年合同登记表'!AP47/'18年合同登记表'!$M47</f>
        <v>0</v>
      </c>
      <c r="AZ53" s="122">
        <f>客服部最终提成计算表!$X55*0.15*0.8*0.05*'18年合同登记表'!AP47/'18年合同登记表'!$M47</f>
        <v>0</v>
      </c>
      <c r="BA53" s="131">
        <f>客服部最终提成计算表!$X55*0.15*0.8*0.02*'18年合同登记表'!AP47/'18年合同登记表'!$M47</f>
        <v>0</v>
      </c>
    </row>
    <row r="54" s="104" customFormat="1" ht="14.25" spans="1:53">
      <c r="A54" s="117"/>
      <c r="B54" s="118" t="str">
        <f>'18年合同登记表'!F48</f>
        <v>清华同方</v>
      </c>
      <c r="C54" s="119" t="str">
        <f>'18年合同登记表'!H48</f>
        <v>NHY-20180320-Q-01-01-030</v>
      </c>
      <c r="D54" s="119" t="str">
        <f>'18年合同登记表'!I48</f>
        <v>冷却塔填料更换项目</v>
      </c>
      <c r="E54" s="120" t="str">
        <f>'18年合同登记表'!L48</f>
        <v>陈勇/</v>
      </c>
      <c r="F54" s="121">
        <f>客服部最终提成计算表!$X56*0.15*0.8*0.85*'18年合同登记表'!T48/'18年合同登记表'!$M48</f>
        <v>0</v>
      </c>
      <c r="G54" s="122">
        <f>客服部最终提成计算表!$X56*0.15*0.8*0.08*'18年合同登记表'!T48/'18年合同登记表'!$M48</f>
        <v>0</v>
      </c>
      <c r="H54" s="122">
        <f>客服部最终提成计算表!$X56*0.15*0.8*0.05*'18年合同登记表'!T48/'18年合同登记表'!$M48</f>
        <v>0</v>
      </c>
      <c r="I54" s="122">
        <f>客服部最终提成计算表!$X56*0.15*0.8*0.02*'18年合同登记表'!T48/'18年合同登记表'!$M48</f>
        <v>0</v>
      </c>
      <c r="J54" s="122">
        <f>客服部最终提成计算表!$X56*0.15*0.8*0.85*'18年合同登记表'!V48/'18年合同登记表'!$M48</f>
        <v>0</v>
      </c>
      <c r="K54" s="122">
        <f>客服部最终提成计算表!$X56*0.15*0.8*0.08*'18年合同登记表'!V48/'18年合同登记表'!$M48</f>
        <v>0</v>
      </c>
      <c r="L54" s="122">
        <f>客服部最终提成计算表!$X56*0.15*0.8*0.05*'18年合同登记表'!V48/'18年合同登记表'!$M48</f>
        <v>0</v>
      </c>
      <c r="M54" s="122">
        <f>客服部最终提成计算表!$X56*0.15*0.8*0.02*'18年合同登记表'!V48/'18年合同登记表'!$M48</f>
        <v>0</v>
      </c>
      <c r="N54" s="122">
        <f>客服部最终提成计算表!$X56*0.15*0.8*0.85*'18年合同登记表'!X48/'18年合同登记表'!$M48</f>
        <v>0</v>
      </c>
      <c r="O54" s="122">
        <f>客服部最终提成计算表!$X56*0.15*0.8*0.08*'18年合同登记表'!X48/'18年合同登记表'!$M48</f>
        <v>0</v>
      </c>
      <c r="P54" s="122">
        <f>客服部最终提成计算表!$X56*0.15*0.8*0.05*'18年合同登记表'!X48/'18年合同登记表'!$M48</f>
        <v>0</v>
      </c>
      <c r="Q54" s="122">
        <f>客服部最终提成计算表!$X56*0.15*0.8*0.02*'18年合同登记表'!X48/'18年合同登记表'!$M48</f>
        <v>0</v>
      </c>
      <c r="R54" s="122">
        <f>客服部最终提成计算表!$X56*0.15*0.8*0.85*'18年合同登记表'!Z48/'18年合同登记表'!$M48</f>
        <v>0</v>
      </c>
      <c r="S54" s="122">
        <f>客服部最终提成计算表!$X56*0.15*0.8*0.08*'18年合同登记表'!Z48/'18年合同登记表'!$M48</f>
        <v>0</v>
      </c>
      <c r="T54" s="122">
        <f>客服部最终提成计算表!$X56*0.15*0.8*0.05*'18年合同登记表'!Z48/'18年合同登记表'!$M48</f>
        <v>0</v>
      </c>
      <c r="U54" s="122">
        <f>客服部最终提成计算表!$X56*0.15*0.8*0.02*'18年合同登记表'!Z48/'18年合同登记表'!$M48</f>
        <v>0</v>
      </c>
      <c r="V54" s="122">
        <f>客服部最终提成计算表!$X56*0.15*0.8*0.85*'18年合同登记表'!AB48/'18年合同登记表'!$M48</f>
        <v>0</v>
      </c>
      <c r="W54" s="122">
        <f>客服部最终提成计算表!$X56*0.15*0.8*0.08*'18年合同登记表'!AB48/'18年合同登记表'!$M48</f>
        <v>0</v>
      </c>
      <c r="X54" s="122">
        <f>客服部最终提成计算表!$X56*0.15*0.8*0.05*'18年合同登记表'!AB48/'18年合同登记表'!$M48</f>
        <v>0</v>
      </c>
      <c r="Y54" s="122">
        <f>客服部最终提成计算表!$X56*0.15*0.8*0.02*'18年合同登记表'!AB48/'18年合同登记表'!$M48</f>
        <v>0</v>
      </c>
      <c r="Z54" s="122">
        <f>客服部最终提成计算表!$X56*0.15*0.8*0.85*'18年合同登记表'!AD48/'18年合同登记表'!$M48</f>
        <v>9690</v>
      </c>
      <c r="AA54" s="122">
        <f>客服部最终提成计算表!$X56*0.15*0.8*0.08*'18年合同登记表'!AD48/'18年合同登记表'!$M48</f>
        <v>912</v>
      </c>
      <c r="AB54" s="122">
        <f>客服部最终提成计算表!$X56*0.15*0.8*0.05*'18年合同登记表'!AD48/'18年合同登记表'!$M48</f>
        <v>570</v>
      </c>
      <c r="AC54" s="122">
        <f>客服部最终提成计算表!$X56*0.15*0.8*0.02*'18年合同登记表'!AD48/'18年合同登记表'!$M48</f>
        <v>228</v>
      </c>
      <c r="AD54" s="122">
        <f>客服部最终提成计算表!$X56*0.15*0.8*0.85*'18年合同登记表'!AF48/'18年合同登记表'!$M48</f>
        <v>0</v>
      </c>
      <c r="AE54" s="122">
        <f>客服部最终提成计算表!$X56*0.15*0.8*0.08*'18年合同登记表'!AF48/'18年合同登记表'!$M48</f>
        <v>0</v>
      </c>
      <c r="AF54" s="122">
        <f>客服部最终提成计算表!$X56*0.15*0.8*0.05*'18年合同登记表'!AF48/'18年合同登记表'!$M48</f>
        <v>0</v>
      </c>
      <c r="AG54" s="122">
        <f>客服部最终提成计算表!$X56*0.15*0.8*0.02*'18年合同登记表'!AF48/'18年合同登记表'!$M48</f>
        <v>0</v>
      </c>
      <c r="AH54" s="122">
        <f>客服部最终提成计算表!$X56*0.15*0.8*0.85*'18年合同登记表'!AH48/'18年合同登记表'!$M48</f>
        <v>0</v>
      </c>
      <c r="AI54" s="122">
        <f>客服部最终提成计算表!$X56*0.15*0.8*0.08*'18年合同登记表'!AH48/'18年合同登记表'!$M48</f>
        <v>0</v>
      </c>
      <c r="AJ54" s="122">
        <f>客服部最终提成计算表!$X56*0.15*0.8*0.05*'18年合同登记表'!AH48/'18年合同登记表'!$M48</f>
        <v>0</v>
      </c>
      <c r="AK54" s="122">
        <f>客服部最终提成计算表!$X56*0.15*0.8*0.02*'18年合同登记表'!AH48/'18年合同登记表'!$M48</f>
        <v>0</v>
      </c>
      <c r="AL54" s="122">
        <f>客服部最终提成计算表!$X56*0.15*0.8*0.85*'18年合同登记表'!AJ48/'18年合同登记表'!$M48</f>
        <v>0</v>
      </c>
      <c r="AM54" s="122">
        <f>客服部最终提成计算表!$X56*0.15*0.8*0.08*'18年合同登记表'!AJ48/'18年合同登记表'!$M48</f>
        <v>0</v>
      </c>
      <c r="AN54" s="122">
        <f>客服部最终提成计算表!$X56*0.15*0.8*0.05*'18年合同登记表'!AJ48/'18年合同登记表'!$M48</f>
        <v>0</v>
      </c>
      <c r="AO54" s="122">
        <f>客服部最终提成计算表!$X56*0.15*0.8*0.02*'18年合同登记表'!AJ48/'18年合同登记表'!$M48</f>
        <v>0</v>
      </c>
      <c r="AP54" s="122">
        <f>客服部最终提成计算表!$X56*0.15*0.8*0.85*'18年合同登记表'!AL48/'18年合同登记表'!$M48</f>
        <v>0</v>
      </c>
      <c r="AQ54" s="122">
        <f>客服部最终提成计算表!$X56*0.15*0.8*0.08*'18年合同登记表'!AL48/'18年合同登记表'!$M48</f>
        <v>0</v>
      </c>
      <c r="AR54" s="122">
        <f>客服部最终提成计算表!$X56*0.15*0.8*0.05*'18年合同登记表'!AL48/'18年合同登记表'!$M48</f>
        <v>0</v>
      </c>
      <c r="AS54" s="122">
        <f>客服部最终提成计算表!$X56*0.15*0.8*0.02*'18年合同登记表'!AL48/'18年合同登记表'!$M48</f>
        <v>0</v>
      </c>
      <c r="AT54" s="122">
        <f>客服部最终提成计算表!$X56*0.15*0.8*0.85*'18年合同登记表'!AN48/'18年合同登记表'!$M48</f>
        <v>0</v>
      </c>
      <c r="AU54" s="122">
        <f>客服部最终提成计算表!$X56*0.15*0.8*0.08*'18年合同登记表'!AN48/'18年合同登记表'!$M48</f>
        <v>0</v>
      </c>
      <c r="AV54" s="122">
        <f>客服部最终提成计算表!$X56*0.15*0.8*0.05*'18年合同登记表'!AN48/'18年合同登记表'!$M48</f>
        <v>0</v>
      </c>
      <c r="AW54" s="122">
        <f>客服部最终提成计算表!$X56*0.15*0.8*0.02*'18年合同登记表'!AN48/'18年合同登记表'!$M48</f>
        <v>0</v>
      </c>
      <c r="AX54" s="122">
        <f>客服部最终提成计算表!$X56*0.15*0.8*0.85*'18年合同登记表'!AP48/'18年合同登记表'!$M48</f>
        <v>0</v>
      </c>
      <c r="AY54" s="122">
        <f>客服部最终提成计算表!$X56*0.15*0.8*0.08*'18年合同登记表'!AP48/'18年合同登记表'!$M48</f>
        <v>0</v>
      </c>
      <c r="AZ54" s="122">
        <f>客服部最终提成计算表!$X56*0.15*0.8*0.05*'18年合同登记表'!AP48/'18年合同登记表'!$M48</f>
        <v>0</v>
      </c>
      <c r="BA54" s="131">
        <f>客服部最终提成计算表!$X56*0.15*0.8*0.02*'18年合同登记表'!AP48/'18年合同登记表'!$M48</f>
        <v>0</v>
      </c>
    </row>
    <row r="55" s="104" customFormat="1" ht="14.25" spans="1:53">
      <c r="A55" s="117"/>
      <c r="B55" s="118" t="str">
        <f>'18年合同登记表'!F41</f>
        <v>公益西桥华联</v>
      </c>
      <c r="C55" s="119" t="str">
        <f>'18年合同登记表'!H41</f>
        <v>NHY-20180312-L-01-01-045</v>
      </c>
      <c r="D55" s="119" t="str">
        <f>'18年合同登记表'!I41</f>
        <v>离心机维保合同</v>
      </c>
      <c r="E55" s="120" t="str">
        <f>'18年合同登记表'!L41</f>
        <v>陈勇/</v>
      </c>
      <c r="F55" s="121">
        <f>客服部最终提成计算表!$X57*0.15*0.8*0.85*'18年合同登记表'!T49/'18年合同登记表'!$M41</f>
        <v>0</v>
      </c>
      <c r="G55" s="122">
        <f>客服部最终提成计算表!$X57*0.15*0.8*0.08*'18年合同登记表'!T49/'18年合同登记表'!$M41</f>
        <v>0</v>
      </c>
      <c r="H55" s="122">
        <f>客服部最终提成计算表!$X57*0.15*0.8*0.05*'18年合同登记表'!T49/'18年合同登记表'!$M41</f>
        <v>0</v>
      </c>
      <c r="I55" s="122">
        <f>客服部最终提成计算表!$X57*0.15*0.8*0.02*'18年合同登记表'!T49/'18年合同登记表'!$M41</f>
        <v>0</v>
      </c>
      <c r="J55" s="122">
        <f>客服部最终提成计算表!$X57*0.15*0.8*0.85*'18年合同登记表'!V49/'18年合同登记表'!$M41</f>
        <v>0</v>
      </c>
      <c r="K55" s="122">
        <f>客服部最终提成计算表!$X57*0.15*0.8*0.08*'18年合同登记表'!V49/'18年合同登记表'!$M41</f>
        <v>0</v>
      </c>
      <c r="L55" s="122">
        <f>客服部最终提成计算表!$X57*0.15*0.8*0.05*'18年合同登记表'!V49/'18年合同登记表'!$M41</f>
        <v>0</v>
      </c>
      <c r="M55" s="122">
        <f>客服部最终提成计算表!$X57*0.15*0.8*0.02*'18年合同登记表'!V49/'18年合同登记表'!$M41</f>
        <v>0</v>
      </c>
      <c r="N55" s="122">
        <f>客服部最终提成计算表!$X57*0.15*0.8*0.85*'18年合同登记表'!X49/'18年合同登记表'!$M41</f>
        <v>0</v>
      </c>
      <c r="O55" s="122">
        <f>客服部最终提成计算表!$X57*0.15*0.8*0.08*'18年合同登记表'!X49/'18年合同登记表'!$M41</f>
        <v>0</v>
      </c>
      <c r="P55" s="122">
        <f>客服部最终提成计算表!$X57*0.15*0.8*0.05*'18年合同登记表'!X49/'18年合同登记表'!$M41</f>
        <v>0</v>
      </c>
      <c r="Q55" s="122">
        <f>客服部最终提成计算表!$X57*0.15*0.8*0.02*'18年合同登记表'!X49/'18年合同登记表'!$M41</f>
        <v>0</v>
      </c>
      <c r="R55" s="122">
        <f>客服部最终提成计算表!$X57*0.15*0.8*0.85*'18年合同登记表'!Z49/'18年合同登记表'!$M41</f>
        <v>0</v>
      </c>
      <c r="S55" s="122">
        <f>客服部最终提成计算表!$X57*0.15*0.8*0.08*'18年合同登记表'!Z49/'18年合同登记表'!$M41</f>
        <v>0</v>
      </c>
      <c r="T55" s="122">
        <f>客服部最终提成计算表!$X57*0.15*0.8*0.05*'18年合同登记表'!Z49/'18年合同登记表'!$M41</f>
        <v>0</v>
      </c>
      <c r="U55" s="122">
        <f>客服部最终提成计算表!$X57*0.15*0.8*0.02*'18年合同登记表'!Z49/'18年合同登记表'!$M41</f>
        <v>0</v>
      </c>
      <c r="V55" s="122">
        <f>客服部最终提成计算表!$X57*0.15*0.8*0.85*'18年合同登记表'!AB49/'18年合同登记表'!$M41</f>
        <v>0</v>
      </c>
      <c r="W55" s="122">
        <f>客服部最终提成计算表!$X57*0.15*0.8*0.08*'18年合同登记表'!AB49/'18年合同登记表'!$M41</f>
        <v>0</v>
      </c>
      <c r="X55" s="122">
        <f>客服部最终提成计算表!$X57*0.15*0.8*0.05*'18年合同登记表'!AB49/'18年合同登记表'!$M41</f>
        <v>0</v>
      </c>
      <c r="Y55" s="122">
        <f>客服部最终提成计算表!$X57*0.15*0.8*0.02*'18年合同登记表'!AB49/'18年合同登记表'!$M41</f>
        <v>0</v>
      </c>
      <c r="Z55" s="122">
        <f>客服部最终提成计算表!$X57*0.15*0.8*0.85*'18年合同登记表'!AD49/'18年合同登记表'!$M41</f>
        <v>4590</v>
      </c>
      <c r="AA55" s="122">
        <f>客服部最终提成计算表!$X57*0.15*0.8*0.08*'18年合同登记表'!AD49/'18年合同登记表'!$M41</f>
        <v>432</v>
      </c>
      <c r="AB55" s="122">
        <f>客服部最终提成计算表!$X57*0.15*0.8*0.05*'18年合同登记表'!AD49/'18年合同登记表'!$M41</f>
        <v>270</v>
      </c>
      <c r="AC55" s="122">
        <f>客服部最终提成计算表!$X57*0.15*0.8*0.02*'18年合同登记表'!AD49/'18年合同登记表'!$M41</f>
        <v>108</v>
      </c>
      <c r="AD55" s="122">
        <f>客服部最终提成计算表!$X57*0.15*0.8*0.85*'18年合同登记表'!AF49/'18年合同登记表'!$M41</f>
        <v>0</v>
      </c>
      <c r="AE55" s="122">
        <f>客服部最终提成计算表!$X57*0.15*0.8*0.08*'18年合同登记表'!AF49/'18年合同登记表'!$M41</f>
        <v>0</v>
      </c>
      <c r="AF55" s="122">
        <f>客服部最终提成计算表!$X57*0.15*0.8*0.05*'18年合同登记表'!AF49/'18年合同登记表'!$M41</f>
        <v>0</v>
      </c>
      <c r="AG55" s="122">
        <f>客服部最终提成计算表!$X57*0.15*0.8*0.02*'18年合同登记表'!AF49/'18年合同登记表'!$M41</f>
        <v>0</v>
      </c>
      <c r="AH55" s="122">
        <f>客服部最终提成计算表!$X57*0.15*0.8*0.85*'18年合同登记表'!AH49/'18年合同登记表'!$M41</f>
        <v>0</v>
      </c>
      <c r="AI55" s="122">
        <f>客服部最终提成计算表!$X57*0.15*0.8*0.08*'18年合同登记表'!AH49/'18年合同登记表'!$M41</f>
        <v>0</v>
      </c>
      <c r="AJ55" s="122">
        <f>客服部最终提成计算表!$X57*0.15*0.8*0.05*'18年合同登记表'!AH49/'18年合同登记表'!$M41</f>
        <v>0</v>
      </c>
      <c r="AK55" s="122">
        <f>客服部最终提成计算表!$X57*0.15*0.8*0.02*'18年合同登记表'!AH49/'18年合同登记表'!$M41</f>
        <v>0</v>
      </c>
      <c r="AL55" s="122">
        <f>客服部最终提成计算表!$X57*0.15*0.8*0.85*'18年合同登记表'!AJ49/'18年合同登记表'!$M41</f>
        <v>0</v>
      </c>
      <c r="AM55" s="122">
        <f>客服部最终提成计算表!$X57*0.15*0.8*0.08*'18年合同登记表'!AJ49/'18年合同登记表'!$M41</f>
        <v>0</v>
      </c>
      <c r="AN55" s="122">
        <f>客服部最终提成计算表!$X57*0.15*0.8*0.05*'18年合同登记表'!AJ49/'18年合同登记表'!$M41</f>
        <v>0</v>
      </c>
      <c r="AO55" s="122">
        <f>客服部最终提成计算表!$X57*0.15*0.8*0.02*'18年合同登记表'!AJ49/'18年合同登记表'!$M41</f>
        <v>0</v>
      </c>
      <c r="AP55" s="122">
        <f>客服部最终提成计算表!$X57*0.15*0.8*0.85*'18年合同登记表'!AL49/'18年合同登记表'!$M41</f>
        <v>0</v>
      </c>
      <c r="AQ55" s="122">
        <f>客服部最终提成计算表!$X57*0.15*0.8*0.08*'18年合同登记表'!AL49/'18年合同登记表'!$M41</f>
        <v>0</v>
      </c>
      <c r="AR55" s="122">
        <f>客服部最终提成计算表!$X57*0.15*0.8*0.05*'18年合同登记表'!AL49/'18年合同登记表'!$M41</f>
        <v>0</v>
      </c>
      <c r="AS55" s="122">
        <f>客服部最终提成计算表!$X57*0.15*0.8*0.02*'18年合同登记表'!AL49/'18年合同登记表'!$M41</f>
        <v>0</v>
      </c>
      <c r="AT55" s="122">
        <f>客服部最终提成计算表!$X57*0.15*0.8*0.85*'18年合同登记表'!AN49/'18年合同登记表'!$M41</f>
        <v>0</v>
      </c>
      <c r="AU55" s="122">
        <f>客服部最终提成计算表!$X57*0.15*0.8*0.08*'18年合同登记表'!AN49/'18年合同登记表'!$M41</f>
        <v>0</v>
      </c>
      <c r="AV55" s="122">
        <f>客服部最终提成计算表!$X57*0.15*0.8*0.05*'18年合同登记表'!AN49/'18年合同登记表'!$M41</f>
        <v>0</v>
      </c>
      <c r="AW55" s="122">
        <f>客服部最终提成计算表!$X57*0.15*0.8*0.02*'18年合同登记表'!AN49/'18年合同登记表'!$M41</f>
        <v>0</v>
      </c>
      <c r="AX55" s="122">
        <f>客服部最终提成计算表!$X57*0.15*0.8*0.85*'18年合同登记表'!AP49/'18年合同登记表'!$M41</f>
        <v>0</v>
      </c>
      <c r="AY55" s="122">
        <f>客服部最终提成计算表!$X57*0.15*0.8*0.08*'18年合同登记表'!AP49/'18年合同登记表'!$M41</f>
        <v>0</v>
      </c>
      <c r="AZ55" s="122">
        <f>客服部最终提成计算表!$X57*0.15*0.8*0.05*'18年合同登记表'!AP49/'18年合同登记表'!$M41</f>
        <v>0</v>
      </c>
      <c r="BA55" s="131">
        <f>客服部最终提成计算表!$X57*0.15*0.8*0.02*'18年合同登记表'!AP49/'18年合同登记表'!$M41</f>
        <v>0</v>
      </c>
    </row>
    <row r="56" s="104" customFormat="1" ht="14.25" spans="1:53">
      <c r="A56" s="117"/>
      <c r="B56" s="118" t="str">
        <f>'18年合同登记表'!F50</f>
        <v>西安沃尔玛</v>
      </c>
      <c r="C56" s="119" t="str">
        <f>'18年合同登记表'!H50</f>
        <v>NHY-20180415-Q-01-01-056</v>
      </c>
      <c r="D56" s="119" t="str">
        <f>'18年合同登记表'!I50</f>
        <v>1#直燃机大修</v>
      </c>
      <c r="E56" s="120" t="str">
        <f>'18年合同登记表'!L50</f>
        <v>卢强</v>
      </c>
      <c r="F56" s="121">
        <f>客服部最终提成计算表!$X58*0.15*0.8*0.85*'18年合同登记表'!T50/'18年合同登记表'!$M50</f>
        <v>0</v>
      </c>
      <c r="G56" s="122">
        <f>客服部最终提成计算表!$X58*0.15*0.8*0.08*'18年合同登记表'!T50/'18年合同登记表'!$M50</f>
        <v>0</v>
      </c>
      <c r="H56" s="122">
        <f>客服部最终提成计算表!$X58*0.15*0.8*0.05*'18年合同登记表'!T50/'18年合同登记表'!$M50</f>
        <v>0</v>
      </c>
      <c r="I56" s="122">
        <f>客服部最终提成计算表!$X58*0.15*0.8*0.02*'18年合同登记表'!T50/'18年合同登记表'!$M50</f>
        <v>0</v>
      </c>
      <c r="J56" s="122">
        <f>客服部最终提成计算表!$X58*0.15*0.8*0.85*'18年合同登记表'!V50/'18年合同登记表'!$M50</f>
        <v>0</v>
      </c>
      <c r="K56" s="122">
        <f>客服部最终提成计算表!$X58*0.15*0.8*0.08*'18年合同登记表'!V50/'18年合同登记表'!$M50</f>
        <v>0</v>
      </c>
      <c r="L56" s="122">
        <f>客服部最终提成计算表!$X58*0.15*0.8*0.05*'18年合同登记表'!V50/'18年合同登记表'!$M50</f>
        <v>0</v>
      </c>
      <c r="M56" s="122">
        <f>客服部最终提成计算表!$X58*0.15*0.8*0.02*'18年合同登记表'!V50/'18年合同登记表'!$M50</f>
        <v>0</v>
      </c>
      <c r="N56" s="122">
        <f>客服部最终提成计算表!$X58*0.15*0.8*0.85*'18年合同登记表'!X50/'18年合同登记表'!$M50</f>
        <v>0</v>
      </c>
      <c r="O56" s="122">
        <f>客服部最终提成计算表!$X58*0.15*0.8*0.08*'18年合同登记表'!X50/'18年合同登记表'!$M50</f>
        <v>0</v>
      </c>
      <c r="P56" s="122">
        <f>客服部最终提成计算表!$X58*0.15*0.8*0.05*'18年合同登记表'!X50/'18年合同登记表'!$M50</f>
        <v>0</v>
      </c>
      <c r="Q56" s="122">
        <f>客服部最终提成计算表!$X58*0.15*0.8*0.02*'18年合同登记表'!X50/'18年合同登记表'!$M50</f>
        <v>0</v>
      </c>
      <c r="R56" s="122">
        <f>客服部最终提成计算表!$X58*0.15*0.8*0.85*'18年合同登记表'!Z50/'18年合同登记表'!$M50</f>
        <v>0</v>
      </c>
      <c r="S56" s="122">
        <f>客服部最终提成计算表!$X58*0.15*0.8*0.08*'18年合同登记表'!Z50/'18年合同登记表'!$M50</f>
        <v>0</v>
      </c>
      <c r="T56" s="122">
        <f>客服部最终提成计算表!$X58*0.15*0.8*0.05*'18年合同登记表'!Z50/'18年合同登记表'!$M50</f>
        <v>0</v>
      </c>
      <c r="U56" s="122">
        <f>客服部最终提成计算表!$X58*0.15*0.8*0.02*'18年合同登记表'!Z50/'18年合同登记表'!$M50</f>
        <v>0</v>
      </c>
      <c r="V56" s="122">
        <f>客服部最终提成计算表!$X58*0.15*0.8*0.85*'18年合同登记表'!AB50/'18年合同登记表'!$M50</f>
        <v>0</v>
      </c>
      <c r="W56" s="122">
        <f>客服部最终提成计算表!$X58*0.15*0.8*0.08*'18年合同登记表'!AB50/'18年合同登记表'!$M50</f>
        <v>0</v>
      </c>
      <c r="X56" s="122">
        <f>客服部最终提成计算表!$X58*0.15*0.8*0.05*'18年合同登记表'!AB50/'18年合同登记表'!$M50</f>
        <v>0</v>
      </c>
      <c r="Y56" s="122">
        <f>客服部最终提成计算表!$X58*0.15*0.8*0.02*'18年合同登记表'!AB50/'18年合同登记表'!$M50</f>
        <v>0</v>
      </c>
      <c r="Z56" s="122">
        <f>客服部最终提成计算表!$X58*0.15*0.8*0.85*'18年合同登记表'!AD50/'18年合同登记表'!$M50</f>
        <v>12209.4</v>
      </c>
      <c r="AA56" s="122">
        <f>客服部最终提成计算表!$X58*0.15*0.8*0.08*'18年合同登记表'!AD50/'18年合同登记表'!$M50</f>
        <v>1149.12</v>
      </c>
      <c r="AB56" s="122">
        <f>客服部最终提成计算表!$X58*0.15*0.8*0.05*'18年合同登记表'!AD50/'18年合同登记表'!$M50</f>
        <v>718.2</v>
      </c>
      <c r="AC56" s="122">
        <f>客服部最终提成计算表!$X58*0.15*0.8*0.02*'18年合同登记表'!AD50/'18年合同登记表'!$M50</f>
        <v>287.28</v>
      </c>
      <c r="AD56" s="122">
        <f>客服部最终提成计算表!$X58*0.15*0.8*0.85*'18年合同登记表'!AF50/'18年合同登记表'!$M50</f>
        <v>0</v>
      </c>
      <c r="AE56" s="122">
        <f>客服部最终提成计算表!$X58*0.15*0.8*0.08*'18年合同登记表'!AF50/'18年合同登记表'!$M50</f>
        <v>0</v>
      </c>
      <c r="AF56" s="122">
        <f>客服部最终提成计算表!$X58*0.15*0.8*0.05*'18年合同登记表'!AF50/'18年合同登记表'!$M50</f>
        <v>0</v>
      </c>
      <c r="AG56" s="122">
        <f>客服部最终提成计算表!$X58*0.15*0.8*0.02*'18年合同登记表'!AF50/'18年合同登记表'!$M50</f>
        <v>0</v>
      </c>
      <c r="AH56" s="122">
        <f>客服部最终提成计算表!$X58*0.15*0.8*0.85*'18年合同登记表'!AH50/'18年合同登记表'!$M50</f>
        <v>0</v>
      </c>
      <c r="AI56" s="122">
        <f>客服部最终提成计算表!$X58*0.15*0.8*0.08*'18年合同登记表'!AH50/'18年合同登记表'!$M50</f>
        <v>0</v>
      </c>
      <c r="AJ56" s="122">
        <f>客服部最终提成计算表!$X58*0.15*0.8*0.05*'18年合同登记表'!AH50/'18年合同登记表'!$M50</f>
        <v>0</v>
      </c>
      <c r="AK56" s="122">
        <f>客服部最终提成计算表!$X58*0.15*0.8*0.02*'18年合同登记表'!AH50/'18年合同登记表'!$M50</f>
        <v>0</v>
      </c>
      <c r="AL56" s="122">
        <f>客服部最终提成计算表!$X58*0.15*0.8*0.85*'18年合同登记表'!AJ50/'18年合同登记表'!$M50</f>
        <v>0</v>
      </c>
      <c r="AM56" s="122">
        <f>客服部最终提成计算表!$X58*0.15*0.8*0.08*'18年合同登记表'!AJ50/'18年合同登记表'!$M50</f>
        <v>0</v>
      </c>
      <c r="AN56" s="122">
        <f>客服部最终提成计算表!$X58*0.15*0.8*0.05*'18年合同登记表'!AJ50/'18年合同登记表'!$M50</f>
        <v>0</v>
      </c>
      <c r="AO56" s="122">
        <f>客服部最终提成计算表!$X58*0.15*0.8*0.02*'18年合同登记表'!AJ50/'18年合同登记表'!$M50</f>
        <v>0</v>
      </c>
      <c r="AP56" s="122">
        <f>客服部最终提成计算表!$X58*0.15*0.8*0.85*'18年合同登记表'!AL50/'18年合同登记表'!$M50</f>
        <v>0</v>
      </c>
      <c r="AQ56" s="122">
        <f>客服部最终提成计算表!$X58*0.15*0.8*0.08*'18年合同登记表'!AL50/'18年合同登记表'!$M50</f>
        <v>0</v>
      </c>
      <c r="AR56" s="122">
        <f>客服部最终提成计算表!$X58*0.15*0.8*0.05*'18年合同登记表'!AL50/'18年合同登记表'!$M50</f>
        <v>0</v>
      </c>
      <c r="AS56" s="122">
        <f>客服部最终提成计算表!$X58*0.15*0.8*0.02*'18年合同登记表'!AL50/'18年合同登记表'!$M50</f>
        <v>0</v>
      </c>
      <c r="AT56" s="122">
        <f>客服部最终提成计算表!$X58*0.15*0.8*0.85*'18年合同登记表'!AN50/'18年合同登记表'!$M50</f>
        <v>0</v>
      </c>
      <c r="AU56" s="122">
        <f>客服部最终提成计算表!$X58*0.15*0.8*0.08*'18年合同登记表'!AN50/'18年合同登记表'!$M50</f>
        <v>0</v>
      </c>
      <c r="AV56" s="122">
        <f>客服部最终提成计算表!$X58*0.15*0.8*0.05*'18年合同登记表'!AN50/'18年合同登记表'!$M50</f>
        <v>0</v>
      </c>
      <c r="AW56" s="122">
        <f>客服部最终提成计算表!$X58*0.15*0.8*0.02*'18年合同登记表'!AN50/'18年合同登记表'!$M50</f>
        <v>0</v>
      </c>
      <c r="AX56" s="122">
        <f>客服部最终提成计算表!$X58*0.15*0.8*0.85*'18年合同登记表'!AP50/'18年合同登记表'!$M50</f>
        <v>0</v>
      </c>
      <c r="AY56" s="122">
        <f>客服部最终提成计算表!$X58*0.15*0.8*0.08*'18年合同登记表'!AP50/'18年合同登记表'!$M50</f>
        <v>0</v>
      </c>
      <c r="AZ56" s="122">
        <f>客服部最终提成计算表!$X58*0.15*0.8*0.05*'18年合同登记表'!AP50/'18年合同登记表'!$M50</f>
        <v>0</v>
      </c>
      <c r="BA56" s="131">
        <f>客服部最终提成计算表!$X58*0.15*0.8*0.02*'18年合同登记表'!AP50/'18年合同登记表'!$M50</f>
        <v>0</v>
      </c>
    </row>
    <row r="57" s="104" customFormat="1" ht="14.25" spans="1:53">
      <c r="A57" s="117"/>
      <c r="B57" s="118" t="e">
        <f>'18年合同登记表'!#REF!</f>
        <v>#REF!</v>
      </c>
      <c r="C57" s="119" t="e">
        <f>'18年合同登记表'!#REF!</f>
        <v>#REF!</v>
      </c>
      <c r="D57" s="119" t="e">
        <f>'18年合同登记表'!#REF!</f>
        <v>#REF!</v>
      </c>
      <c r="E57" s="120" t="e">
        <f>'18年合同登记表'!#REF!</f>
        <v>#REF!</v>
      </c>
      <c r="F57" s="121" t="e">
        <f>客服部最终提成计算表!$X59*0.15*0.8*0.85*'18年合同登记表'!T51/'18年合同登记表'!#REF!</f>
        <v>#REF!</v>
      </c>
      <c r="G57" s="122" t="e">
        <f>客服部最终提成计算表!$X59*0.15*0.8*0.08*'18年合同登记表'!T51/'18年合同登记表'!#REF!</f>
        <v>#REF!</v>
      </c>
      <c r="H57" s="122" t="e">
        <f>客服部最终提成计算表!$X59*0.15*0.8*0.05*'18年合同登记表'!T51/'18年合同登记表'!#REF!</f>
        <v>#REF!</v>
      </c>
      <c r="I57" s="122" t="e">
        <f>客服部最终提成计算表!$X59*0.15*0.8*0.02*'18年合同登记表'!T51/'18年合同登记表'!#REF!</f>
        <v>#REF!</v>
      </c>
      <c r="J57" s="122" t="e">
        <f>客服部最终提成计算表!$X59*0.15*0.8*0.85*'18年合同登记表'!V51/'18年合同登记表'!#REF!</f>
        <v>#REF!</v>
      </c>
      <c r="K57" s="122" t="e">
        <f>客服部最终提成计算表!$X59*0.15*0.8*0.08*'18年合同登记表'!V51/'18年合同登记表'!#REF!</f>
        <v>#REF!</v>
      </c>
      <c r="L57" s="122" t="e">
        <f>客服部最终提成计算表!$X59*0.15*0.8*0.05*'18年合同登记表'!V51/'18年合同登记表'!#REF!</f>
        <v>#REF!</v>
      </c>
      <c r="M57" s="122" t="e">
        <f>客服部最终提成计算表!$X59*0.15*0.8*0.02*'18年合同登记表'!V51/'18年合同登记表'!#REF!</f>
        <v>#REF!</v>
      </c>
      <c r="N57" s="122" t="e">
        <f>客服部最终提成计算表!$X59*0.15*0.8*0.85*'18年合同登记表'!X51/'18年合同登记表'!#REF!</f>
        <v>#REF!</v>
      </c>
      <c r="O57" s="122" t="e">
        <f>客服部最终提成计算表!$X59*0.15*0.8*0.08*'18年合同登记表'!X51/'18年合同登记表'!#REF!</f>
        <v>#REF!</v>
      </c>
      <c r="P57" s="122" t="e">
        <f>客服部最终提成计算表!$X59*0.15*0.8*0.05*'18年合同登记表'!X51/'18年合同登记表'!#REF!</f>
        <v>#REF!</v>
      </c>
      <c r="Q57" s="122" t="e">
        <f>客服部最终提成计算表!$X59*0.15*0.8*0.02*'18年合同登记表'!X51/'18年合同登记表'!#REF!</f>
        <v>#REF!</v>
      </c>
      <c r="R57" s="122" t="e">
        <f>客服部最终提成计算表!$X59*0.15*0.8*0.85*'18年合同登记表'!Z51/'18年合同登记表'!#REF!</f>
        <v>#REF!</v>
      </c>
      <c r="S57" s="122" t="e">
        <f>客服部最终提成计算表!$X59*0.15*0.8*0.08*'18年合同登记表'!Z51/'18年合同登记表'!#REF!</f>
        <v>#REF!</v>
      </c>
      <c r="T57" s="122" t="e">
        <f>客服部最终提成计算表!$X59*0.15*0.8*0.05*'18年合同登记表'!Z51/'18年合同登记表'!#REF!</f>
        <v>#REF!</v>
      </c>
      <c r="U57" s="122" t="e">
        <f>客服部最终提成计算表!$X59*0.15*0.8*0.02*'18年合同登记表'!Z51/'18年合同登记表'!#REF!</f>
        <v>#REF!</v>
      </c>
      <c r="V57" s="122" t="e">
        <f>客服部最终提成计算表!$X59*0.15*0.8*0.85*'18年合同登记表'!AB51/'18年合同登记表'!#REF!</f>
        <v>#REF!</v>
      </c>
      <c r="W57" s="122" t="e">
        <f>客服部最终提成计算表!$X59*0.15*0.8*0.08*'18年合同登记表'!AB51/'18年合同登记表'!#REF!</f>
        <v>#REF!</v>
      </c>
      <c r="X57" s="122" t="e">
        <f>客服部最终提成计算表!$X59*0.15*0.8*0.05*'18年合同登记表'!AB51/'18年合同登记表'!#REF!</f>
        <v>#REF!</v>
      </c>
      <c r="Y57" s="122" t="e">
        <f>客服部最终提成计算表!$X59*0.15*0.8*0.02*'18年合同登记表'!AB51/'18年合同登记表'!#REF!</f>
        <v>#REF!</v>
      </c>
      <c r="Z57" s="122" t="e">
        <f>客服部最终提成计算表!$X59*0.15*0.8*0.85*'18年合同登记表'!AD51/'18年合同登记表'!#REF!</f>
        <v>#REF!</v>
      </c>
      <c r="AA57" s="122" t="e">
        <f>客服部最终提成计算表!$X59*0.15*0.8*0.08*'18年合同登记表'!AD51/'18年合同登记表'!#REF!</f>
        <v>#REF!</v>
      </c>
      <c r="AB57" s="122" t="e">
        <f>客服部最终提成计算表!$X59*0.15*0.8*0.05*'18年合同登记表'!AD51/'18年合同登记表'!#REF!</f>
        <v>#REF!</v>
      </c>
      <c r="AC57" s="122" t="e">
        <f>客服部最终提成计算表!$X59*0.15*0.8*0.02*'18年合同登记表'!AD51/'18年合同登记表'!#REF!</f>
        <v>#REF!</v>
      </c>
      <c r="AD57" s="122" t="e">
        <f>客服部最终提成计算表!$X59*0.15*0.8*0.85*'18年合同登记表'!AF51/'18年合同登记表'!#REF!</f>
        <v>#REF!</v>
      </c>
      <c r="AE57" s="122" t="e">
        <f>客服部最终提成计算表!$X59*0.15*0.8*0.08*'18年合同登记表'!AF51/'18年合同登记表'!#REF!</f>
        <v>#REF!</v>
      </c>
      <c r="AF57" s="122" t="e">
        <f>客服部最终提成计算表!$X59*0.15*0.8*0.05*'18年合同登记表'!AF51/'18年合同登记表'!#REF!</f>
        <v>#REF!</v>
      </c>
      <c r="AG57" s="122" t="e">
        <f>客服部最终提成计算表!$X59*0.15*0.8*0.02*'18年合同登记表'!AF51/'18年合同登记表'!#REF!</f>
        <v>#REF!</v>
      </c>
      <c r="AH57" s="122" t="e">
        <f>客服部最终提成计算表!$X59*0.15*0.8*0.85*'18年合同登记表'!AH51/'18年合同登记表'!#REF!</f>
        <v>#REF!</v>
      </c>
      <c r="AI57" s="122" t="e">
        <f>客服部最终提成计算表!$X59*0.15*0.8*0.08*'18年合同登记表'!AH51/'18年合同登记表'!#REF!</f>
        <v>#REF!</v>
      </c>
      <c r="AJ57" s="122" t="e">
        <f>客服部最终提成计算表!$X59*0.15*0.8*0.05*'18年合同登记表'!AH51/'18年合同登记表'!#REF!</f>
        <v>#REF!</v>
      </c>
      <c r="AK57" s="122" t="e">
        <f>客服部最终提成计算表!$X59*0.15*0.8*0.02*'18年合同登记表'!AH51/'18年合同登记表'!#REF!</f>
        <v>#REF!</v>
      </c>
      <c r="AL57" s="122" t="e">
        <f>客服部最终提成计算表!$X59*0.15*0.8*0.85*'18年合同登记表'!AJ51/'18年合同登记表'!#REF!</f>
        <v>#REF!</v>
      </c>
      <c r="AM57" s="122" t="e">
        <f>客服部最终提成计算表!$X59*0.15*0.8*0.08*'18年合同登记表'!AJ51/'18年合同登记表'!#REF!</f>
        <v>#REF!</v>
      </c>
      <c r="AN57" s="122" t="e">
        <f>客服部最终提成计算表!$X59*0.15*0.8*0.05*'18年合同登记表'!AJ51/'18年合同登记表'!#REF!</f>
        <v>#REF!</v>
      </c>
      <c r="AO57" s="122" t="e">
        <f>客服部最终提成计算表!$X59*0.15*0.8*0.02*'18年合同登记表'!AJ51/'18年合同登记表'!#REF!</f>
        <v>#REF!</v>
      </c>
      <c r="AP57" s="122" t="e">
        <f>客服部最终提成计算表!$X59*0.15*0.8*0.85*'18年合同登记表'!AL51/'18年合同登记表'!#REF!</f>
        <v>#REF!</v>
      </c>
      <c r="AQ57" s="122" t="e">
        <f>客服部最终提成计算表!$X59*0.15*0.8*0.08*'18年合同登记表'!AL51/'18年合同登记表'!#REF!</f>
        <v>#REF!</v>
      </c>
      <c r="AR57" s="122" t="e">
        <f>客服部最终提成计算表!$X59*0.15*0.8*0.05*'18年合同登记表'!AL51/'18年合同登记表'!#REF!</f>
        <v>#REF!</v>
      </c>
      <c r="AS57" s="122" t="e">
        <f>客服部最终提成计算表!$X59*0.15*0.8*0.02*'18年合同登记表'!AL51/'18年合同登记表'!#REF!</f>
        <v>#REF!</v>
      </c>
      <c r="AT57" s="122" t="e">
        <f>客服部最终提成计算表!$X59*0.15*0.8*0.85*'18年合同登记表'!AN51/'18年合同登记表'!#REF!</f>
        <v>#REF!</v>
      </c>
      <c r="AU57" s="122" t="e">
        <f>客服部最终提成计算表!$X59*0.15*0.8*0.08*'18年合同登记表'!AN51/'18年合同登记表'!#REF!</f>
        <v>#REF!</v>
      </c>
      <c r="AV57" s="122" t="e">
        <f>客服部最终提成计算表!$X59*0.15*0.8*0.05*'18年合同登记表'!AN51/'18年合同登记表'!#REF!</f>
        <v>#REF!</v>
      </c>
      <c r="AW57" s="122" t="e">
        <f>客服部最终提成计算表!$X59*0.15*0.8*0.02*'18年合同登记表'!AN51/'18年合同登记表'!#REF!</f>
        <v>#REF!</v>
      </c>
      <c r="AX57" s="122" t="e">
        <f>客服部最终提成计算表!$X59*0.15*0.8*0.85*'18年合同登记表'!AP51/'18年合同登记表'!#REF!</f>
        <v>#REF!</v>
      </c>
      <c r="AY57" s="122" t="e">
        <f>客服部最终提成计算表!$X59*0.15*0.8*0.08*'18年合同登记表'!AP51/'18年合同登记表'!#REF!</f>
        <v>#REF!</v>
      </c>
      <c r="AZ57" s="122" t="e">
        <f>客服部最终提成计算表!$X59*0.15*0.8*0.05*'18年合同登记表'!AP51/'18年合同登记表'!#REF!</f>
        <v>#REF!</v>
      </c>
      <c r="BA57" s="131" t="e">
        <f>客服部最终提成计算表!$X59*0.15*0.8*0.02*'18年合同登记表'!AP51/'18年合同登记表'!#REF!</f>
        <v>#REF!</v>
      </c>
    </row>
    <row r="58" s="104" customFormat="1" ht="14.25" spans="1:53">
      <c r="A58" s="117"/>
      <c r="B58" s="118" t="e">
        <f>'18年合同登记表'!#REF!</f>
        <v>#REF!</v>
      </c>
      <c r="C58" s="119" t="e">
        <f>'18年合同登记表'!#REF!</f>
        <v>#REF!</v>
      </c>
      <c r="D58" s="119" t="e">
        <f>'18年合同登记表'!#REF!</f>
        <v>#REF!</v>
      </c>
      <c r="E58" s="120" t="e">
        <f>'18年合同登记表'!#REF!</f>
        <v>#REF!</v>
      </c>
      <c r="F58" s="121" t="e">
        <f>客服部最终提成计算表!$X60*0.15*0.8*0.85*'18年合同登记表'!#REF!/'18年合同登记表'!#REF!</f>
        <v>#REF!</v>
      </c>
      <c r="G58" s="122" t="e">
        <f>客服部最终提成计算表!$X60*0.15*0.8*0.08*'18年合同登记表'!#REF!/'18年合同登记表'!#REF!</f>
        <v>#REF!</v>
      </c>
      <c r="H58" s="122" t="e">
        <f>客服部最终提成计算表!$X60*0.15*0.8*0.05*'18年合同登记表'!#REF!/'18年合同登记表'!#REF!</f>
        <v>#REF!</v>
      </c>
      <c r="I58" s="122" t="e">
        <f>客服部最终提成计算表!$X60*0.15*0.8*0.02*'18年合同登记表'!#REF!/'18年合同登记表'!#REF!</f>
        <v>#REF!</v>
      </c>
      <c r="J58" s="122" t="e">
        <f>客服部最终提成计算表!$X60*0.15*0.8*0.85*'18年合同登记表'!#REF!/'18年合同登记表'!#REF!</f>
        <v>#REF!</v>
      </c>
      <c r="K58" s="122" t="e">
        <f>客服部最终提成计算表!$X60*0.15*0.8*0.08*'18年合同登记表'!#REF!/'18年合同登记表'!#REF!</f>
        <v>#REF!</v>
      </c>
      <c r="L58" s="122" t="e">
        <f>客服部最终提成计算表!$X60*0.15*0.8*0.05*'18年合同登记表'!#REF!/'18年合同登记表'!#REF!</f>
        <v>#REF!</v>
      </c>
      <c r="M58" s="122" t="e">
        <f>客服部最终提成计算表!$X60*0.15*0.8*0.02*'18年合同登记表'!#REF!/'18年合同登记表'!#REF!</f>
        <v>#REF!</v>
      </c>
      <c r="N58" s="122" t="e">
        <f>客服部最终提成计算表!$X60*0.15*0.8*0.85*'18年合同登记表'!#REF!/'18年合同登记表'!#REF!</f>
        <v>#REF!</v>
      </c>
      <c r="O58" s="122" t="e">
        <f>客服部最终提成计算表!$X60*0.15*0.8*0.08*'18年合同登记表'!#REF!/'18年合同登记表'!#REF!</f>
        <v>#REF!</v>
      </c>
      <c r="P58" s="122" t="e">
        <f>客服部最终提成计算表!$X60*0.15*0.8*0.05*'18年合同登记表'!#REF!/'18年合同登记表'!#REF!</f>
        <v>#REF!</v>
      </c>
      <c r="Q58" s="122" t="e">
        <f>客服部最终提成计算表!$X60*0.15*0.8*0.02*'18年合同登记表'!#REF!/'18年合同登记表'!#REF!</f>
        <v>#REF!</v>
      </c>
      <c r="R58" s="122" t="e">
        <f>客服部最终提成计算表!$X60*0.15*0.8*0.85*'18年合同登记表'!#REF!/'18年合同登记表'!#REF!</f>
        <v>#REF!</v>
      </c>
      <c r="S58" s="122" t="e">
        <f>客服部最终提成计算表!$X60*0.15*0.8*0.08*'18年合同登记表'!#REF!/'18年合同登记表'!#REF!</f>
        <v>#REF!</v>
      </c>
      <c r="T58" s="122" t="e">
        <f>客服部最终提成计算表!$X60*0.15*0.8*0.05*'18年合同登记表'!#REF!/'18年合同登记表'!#REF!</f>
        <v>#REF!</v>
      </c>
      <c r="U58" s="122" t="e">
        <f>客服部最终提成计算表!$X60*0.15*0.8*0.02*'18年合同登记表'!#REF!/'18年合同登记表'!#REF!</f>
        <v>#REF!</v>
      </c>
      <c r="V58" s="122" t="e">
        <f>客服部最终提成计算表!$X60*0.15*0.8*0.85*'18年合同登记表'!#REF!/'18年合同登记表'!#REF!</f>
        <v>#REF!</v>
      </c>
      <c r="W58" s="122" t="e">
        <f>客服部最终提成计算表!$X60*0.15*0.8*0.08*'18年合同登记表'!#REF!/'18年合同登记表'!#REF!</f>
        <v>#REF!</v>
      </c>
      <c r="X58" s="122" t="e">
        <f>客服部最终提成计算表!$X60*0.15*0.8*0.05*'18年合同登记表'!#REF!/'18年合同登记表'!#REF!</f>
        <v>#REF!</v>
      </c>
      <c r="Y58" s="122" t="e">
        <f>客服部最终提成计算表!$X60*0.15*0.8*0.02*'18年合同登记表'!#REF!/'18年合同登记表'!#REF!</f>
        <v>#REF!</v>
      </c>
      <c r="Z58" s="122" t="e">
        <f>客服部最终提成计算表!$X60*0.15*0.8*0.85*'18年合同登记表'!#REF!/'18年合同登记表'!#REF!</f>
        <v>#REF!</v>
      </c>
      <c r="AA58" s="122" t="e">
        <f>客服部最终提成计算表!$X60*0.15*0.8*0.08*'18年合同登记表'!#REF!/'18年合同登记表'!#REF!</f>
        <v>#REF!</v>
      </c>
      <c r="AB58" s="122" t="e">
        <f>客服部最终提成计算表!$X60*0.15*0.8*0.05*'18年合同登记表'!#REF!/'18年合同登记表'!#REF!</f>
        <v>#REF!</v>
      </c>
      <c r="AC58" s="122" t="e">
        <f>客服部最终提成计算表!$X60*0.15*0.8*0.02*'18年合同登记表'!#REF!/'18年合同登记表'!#REF!</f>
        <v>#REF!</v>
      </c>
      <c r="AD58" s="122" t="e">
        <f>客服部最终提成计算表!$X60*0.15*0.8*0.85*'18年合同登记表'!#REF!/'18年合同登记表'!#REF!</f>
        <v>#REF!</v>
      </c>
      <c r="AE58" s="122" t="e">
        <f>客服部最终提成计算表!$X60*0.15*0.8*0.08*'18年合同登记表'!#REF!/'18年合同登记表'!#REF!</f>
        <v>#REF!</v>
      </c>
      <c r="AF58" s="122" t="e">
        <f>客服部最终提成计算表!$X60*0.15*0.8*0.05*'18年合同登记表'!#REF!/'18年合同登记表'!#REF!</f>
        <v>#REF!</v>
      </c>
      <c r="AG58" s="122" t="e">
        <f>客服部最终提成计算表!$X60*0.15*0.8*0.02*'18年合同登记表'!#REF!/'18年合同登记表'!#REF!</f>
        <v>#REF!</v>
      </c>
      <c r="AH58" s="122" t="e">
        <f>客服部最终提成计算表!$X60*0.15*0.8*0.85*'18年合同登记表'!#REF!/'18年合同登记表'!#REF!</f>
        <v>#REF!</v>
      </c>
      <c r="AI58" s="122" t="e">
        <f>客服部最终提成计算表!$X60*0.15*0.8*0.08*'18年合同登记表'!#REF!/'18年合同登记表'!#REF!</f>
        <v>#REF!</v>
      </c>
      <c r="AJ58" s="122" t="e">
        <f>客服部最终提成计算表!$X60*0.15*0.8*0.05*'18年合同登记表'!#REF!/'18年合同登记表'!#REF!</f>
        <v>#REF!</v>
      </c>
      <c r="AK58" s="122" t="e">
        <f>客服部最终提成计算表!$X60*0.15*0.8*0.02*'18年合同登记表'!#REF!/'18年合同登记表'!#REF!</f>
        <v>#REF!</v>
      </c>
      <c r="AL58" s="122" t="e">
        <f>客服部最终提成计算表!$X60*0.15*0.8*0.85*'18年合同登记表'!#REF!/'18年合同登记表'!#REF!</f>
        <v>#REF!</v>
      </c>
      <c r="AM58" s="122" t="e">
        <f>客服部最终提成计算表!$X60*0.15*0.8*0.08*'18年合同登记表'!#REF!/'18年合同登记表'!#REF!</f>
        <v>#REF!</v>
      </c>
      <c r="AN58" s="122" t="e">
        <f>客服部最终提成计算表!$X60*0.15*0.8*0.05*'18年合同登记表'!#REF!/'18年合同登记表'!#REF!</f>
        <v>#REF!</v>
      </c>
      <c r="AO58" s="122" t="e">
        <f>客服部最终提成计算表!$X60*0.15*0.8*0.02*'18年合同登记表'!#REF!/'18年合同登记表'!#REF!</f>
        <v>#REF!</v>
      </c>
      <c r="AP58" s="122" t="e">
        <f>客服部最终提成计算表!$X60*0.15*0.8*0.85*'18年合同登记表'!#REF!/'18年合同登记表'!#REF!</f>
        <v>#REF!</v>
      </c>
      <c r="AQ58" s="122" t="e">
        <f>客服部最终提成计算表!$X60*0.15*0.8*0.08*'18年合同登记表'!#REF!/'18年合同登记表'!#REF!</f>
        <v>#REF!</v>
      </c>
      <c r="AR58" s="122" t="e">
        <f>客服部最终提成计算表!$X60*0.15*0.8*0.05*'18年合同登记表'!#REF!/'18年合同登记表'!#REF!</f>
        <v>#REF!</v>
      </c>
      <c r="AS58" s="122" t="e">
        <f>客服部最终提成计算表!$X60*0.15*0.8*0.02*'18年合同登记表'!#REF!/'18年合同登记表'!#REF!</f>
        <v>#REF!</v>
      </c>
      <c r="AT58" s="122" t="e">
        <f>客服部最终提成计算表!$X60*0.15*0.8*0.85*'18年合同登记表'!#REF!/'18年合同登记表'!#REF!</f>
        <v>#REF!</v>
      </c>
      <c r="AU58" s="122" t="e">
        <f>客服部最终提成计算表!$X60*0.15*0.8*0.08*'18年合同登记表'!#REF!/'18年合同登记表'!#REF!</f>
        <v>#REF!</v>
      </c>
      <c r="AV58" s="122" t="e">
        <f>客服部最终提成计算表!$X60*0.15*0.8*0.05*'18年合同登记表'!#REF!/'18年合同登记表'!#REF!</f>
        <v>#REF!</v>
      </c>
      <c r="AW58" s="122" t="e">
        <f>客服部最终提成计算表!$X60*0.15*0.8*0.02*'18年合同登记表'!#REF!/'18年合同登记表'!#REF!</f>
        <v>#REF!</v>
      </c>
      <c r="AX58" s="122" t="e">
        <f>客服部最终提成计算表!$X60*0.15*0.8*0.85*'18年合同登记表'!#REF!/'18年合同登记表'!#REF!</f>
        <v>#REF!</v>
      </c>
      <c r="AY58" s="122" t="e">
        <f>客服部最终提成计算表!$X60*0.15*0.8*0.08*'18年合同登记表'!#REF!/'18年合同登记表'!#REF!</f>
        <v>#REF!</v>
      </c>
      <c r="AZ58" s="122" t="e">
        <f>客服部最终提成计算表!$X60*0.15*0.8*0.05*'18年合同登记表'!#REF!/'18年合同登记表'!#REF!</f>
        <v>#REF!</v>
      </c>
      <c r="BA58" s="131" t="e">
        <f>客服部最终提成计算表!$X60*0.15*0.8*0.02*'18年合同登记表'!#REF!/'18年合同登记表'!#REF!</f>
        <v>#REF!</v>
      </c>
    </row>
    <row r="59" s="104" customFormat="1" ht="14.25" spans="1:53">
      <c r="A59" s="117"/>
      <c r="B59" s="118" t="e">
        <f>'18年合同登记表'!#REF!</f>
        <v>#REF!</v>
      </c>
      <c r="C59" s="119" t="e">
        <f>'18年合同登记表'!#REF!</f>
        <v>#REF!</v>
      </c>
      <c r="D59" s="119" t="e">
        <f>'18年合同登记表'!#REF!</f>
        <v>#REF!</v>
      </c>
      <c r="E59" s="120" t="e">
        <f>'18年合同登记表'!#REF!</f>
        <v>#REF!</v>
      </c>
      <c r="F59" s="121" t="e">
        <f>客服部最终提成计算表!$X61*0.15*0.8*0.85*'18年合同登记表'!#REF!/'18年合同登记表'!#REF!</f>
        <v>#REF!</v>
      </c>
      <c r="G59" s="122" t="e">
        <f>客服部最终提成计算表!$X61*0.15*0.8*0.08*'18年合同登记表'!#REF!/'18年合同登记表'!#REF!</f>
        <v>#REF!</v>
      </c>
      <c r="H59" s="122" t="e">
        <f>客服部最终提成计算表!$X61*0.15*0.8*0.05*'18年合同登记表'!#REF!/'18年合同登记表'!#REF!</f>
        <v>#REF!</v>
      </c>
      <c r="I59" s="122" t="e">
        <f>客服部最终提成计算表!$X61*0.15*0.8*0.02*'18年合同登记表'!#REF!/'18年合同登记表'!#REF!</f>
        <v>#REF!</v>
      </c>
      <c r="J59" s="122" t="e">
        <f>客服部最终提成计算表!$X61*0.15*0.8*0.85*'18年合同登记表'!#REF!/'18年合同登记表'!#REF!</f>
        <v>#REF!</v>
      </c>
      <c r="K59" s="122" t="e">
        <f>客服部最终提成计算表!$X61*0.15*0.8*0.08*'18年合同登记表'!#REF!/'18年合同登记表'!#REF!</f>
        <v>#REF!</v>
      </c>
      <c r="L59" s="122" t="e">
        <f>客服部最终提成计算表!$X61*0.15*0.8*0.05*'18年合同登记表'!#REF!/'18年合同登记表'!#REF!</f>
        <v>#REF!</v>
      </c>
      <c r="M59" s="122" t="e">
        <f>客服部最终提成计算表!$X61*0.15*0.8*0.02*'18年合同登记表'!#REF!/'18年合同登记表'!#REF!</f>
        <v>#REF!</v>
      </c>
      <c r="N59" s="122" t="e">
        <f>客服部最终提成计算表!$X61*0.15*0.8*0.85*'18年合同登记表'!#REF!/'18年合同登记表'!#REF!</f>
        <v>#REF!</v>
      </c>
      <c r="O59" s="122" t="e">
        <f>客服部最终提成计算表!$X61*0.15*0.8*0.08*'18年合同登记表'!#REF!/'18年合同登记表'!#REF!</f>
        <v>#REF!</v>
      </c>
      <c r="P59" s="122" t="e">
        <f>客服部最终提成计算表!$X61*0.15*0.8*0.05*'18年合同登记表'!#REF!/'18年合同登记表'!#REF!</f>
        <v>#REF!</v>
      </c>
      <c r="Q59" s="122" t="e">
        <f>客服部最终提成计算表!$X61*0.15*0.8*0.02*'18年合同登记表'!#REF!/'18年合同登记表'!#REF!</f>
        <v>#REF!</v>
      </c>
      <c r="R59" s="122" t="e">
        <f>客服部最终提成计算表!$X61*0.15*0.8*0.85*'18年合同登记表'!#REF!/'18年合同登记表'!#REF!</f>
        <v>#REF!</v>
      </c>
      <c r="S59" s="122" t="e">
        <f>客服部最终提成计算表!$X61*0.15*0.8*0.08*'18年合同登记表'!#REF!/'18年合同登记表'!#REF!</f>
        <v>#REF!</v>
      </c>
      <c r="T59" s="122" t="e">
        <f>客服部最终提成计算表!$X61*0.15*0.8*0.05*'18年合同登记表'!#REF!/'18年合同登记表'!#REF!</f>
        <v>#REF!</v>
      </c>
      <c r="U59" s="122" t="e">
        <f>客服部最终提成计算表!$X61*0.15*0.8*0.02*'18年合同登记表'!#REF!/'18年合同登记表'!#REF!</f>
        <v>#REF!</v>
      </c>
      <c r="V59" s="122" t="e">
        <f>客服部最终提成计算表!$X61*0.15*0.8*0.85*'18年合同登记表'!#REF!/'18年合同登记表'!#REF!</f>
        <v>#REF!</v>
      </c>
      <c r="W59" s="122" t="e">
        <f>客服部最终提成计算表!$X61*0.15*0.8*0.08*'18年合同登记表'!#REF!/'18年合同登记表'!#REF!</f>
        <v>#REF!</v>
      </c>
      <c r="X59" s="122" t="e">
        <f>客服部最终提成计算表!$X61*0.15*0.8*0.05*'18年合同登记表'!#REF!/'18年合同登记表'!#REF!</f>
        <v>#REF!</v>
      </c>
      <c r="Y59" s="122" t="e">
        <f>客服部最终提成计算表!$X61*0.15*0.8*0.02*'18年合同登记表'!#REF!/'18年合同登记表'!#REF!</f>
        <v>#REF!</v>
      </c>
      <c r="Z59" s="122" t="e">
        <f>客服部最终提成计算表!$X61*0.15*0.8*0.85*'18年合同登记表'!#REF!/'18年合同登记表'!#REF!</f>
        <v>#REF!</v>
      </c>
      <c r="AA59" s="122" t="e">
        <f>客服部最终提成计算表!$X61*0.15*0.8*0.08*'18年合同登记表'!#REF!/'18年合同登记表'!#REF!</f>
        <v>#REF!</v>
      </c>
      <c r="AB59" s="122" t="e">
        <f>客服部最终提成计算表!$X61*0.15*0.8*0.05*'18年合同登记表'!#REF!/'18年合同登记表'!#REF!</f>
        <v>#REF!</v>
      </c>
      <c r="AC59" s="122" t="e">
        <f>客服部最终提成计算表!$X61*0.15*0.8*0.02*'18年合同登记表'!#REF!/'18年合同登记表'!#REF!</f>
        <v>#REF!</v>
      </c>
      <c r="AD59" s="122" t="e">
        <f>客服部最终提成计算表!$X61*0.15*0.8*0.85*'18年合同登记表'!#REF!/'18年合同登记表'!#REF!</f>
        <v>#REF!</v>
      </c>
      <c r="AE59" s="122" t="e">
        <f>客服部最终提成计算表!$X61*0.15*0.8*0.08*'18年合同登记表'!#REF!/'18年合同登记表'!#REF!</f>
        <v>#REF!</v>
      </c>
      <c r="AF59" s="122" t="e">
        <f>客服部最终提成计算表!$X61*0.15*0.8*0.05*'18年合同登记表'!#REF!/'18年合同登记表'!#REF!</f>
        <v>#REF!</v>
      </c>
      <c r="AG59" s="122" t="e">
        <f>客服部最终提成计算表!$X61*0.15*0.8*0.02*'18年合同登记表'!#REF!/'18年合同登记表'!#REF!</f>
        <v>#REF!</v>
      </c>
      <c r="AH59" s="122" t="e">
        <f>客服部最终提成计算表!$X61*0.15*0.8*0.85*'18年合同登记表'!#REF!/'18年合同登记表'!#REF!</f>
        <v>#REF!</v>
      </c>
      <c r="AI59" s="122" t="e">
        <f>客服部最终提成计算表!$X61*0.15*0.8*0.08*'18年合同登记表'!#REF!/'18年合同登记表'!#REF!</f>
        <v>#REF!</v>
      </c>
      <c r="AJ59" s="122" t="e">
        <f>客服部最终提成计算表!$X61*0.15*0.8*0.05*'18年合同登记表'!#REF!/'18年合同登记表'!#REF!</f>
        <v>#REF!</v>
      </c>
      <c r="AK59" s="122" t="e">
        <f>客服部最终提成计算表!$X61*0.15*0.8*0.02*'18年合同登记表'!#REF!/'18年合同登记表'!#REF!</f>
        <v>#REF!</v>
      </c>
      <c r="AL59" s="122" t="e">
        <f>客服部最终提成计算表!$X61*0.15*0.8*0.85*'18年合同登记表'!#REF!/'18年合同登记表'!#REF!</f>
        <v>#REF!</v>
      </c>
      <c r="AM59" s="122" t="e">
        <f>客服部最终提成计算表!$X61*0.15*0.8*0.08*'18年合同登记表'!#REF!/'18年合同登记表'!#REF!</f>
        <v>#REF!</v>
      </c>
      <c r="AN59" s="122" t="e">
        <f>客服部最终提成计算表!$X61*0.15*0.8*0.05*'18年合同登记表'!#REF!/'18年合同登记表'!#REF!</f>
        <v>#REF!</v>
      </c>
      <c r="AO59" s="122" t="e">
        <f>客服部最终提成计算表!$X61*0.15*0.8*0.02*'18年合同登记表'!#REF!/'18年合同登记表'!#REF!</f>
        <v>#REF!</v>
      </c>
      <c r="AP59" s="122" t="e">
        <f>客服部最终提成计算表!$X61*0.15*0.8*0.85*'18年合同登记表'!#REF!/'18年合同登记表'!#REF!</f>
        <v>#REF!</v>
      </c>
      <c r="AQ59" s="122" t="e">
        <f>客服部最终提成计算表!$X61*0.15*0.8*0.08*'18年合同登记表'!#REF!/'18年合同登记表'!#REF!</f>
        <v>#REF!</v>
      </c>
      <c r="AR59" s="122" t="e">
        <f>客服部最终提成计算表!$X61*0.15*0.8*0.05*'18年合同登记表'!#REF!/'18年合同登记表'!#REF!</f>
        <v>#REF!</v>
      </c>
      <c r="AS59" s="122" t="e">
        <f>客服部最终提成计算表!$X61*0.15*0.8*0.02*'18年合同登记表'!#REF!/'18年合同登记表'!#REF!</f>
        <v>#REF!</v>
      </c>
      <c r="AT59" s="122" t="e">
        <f>客服部最终提成计算表!$X61*0.15*0.8*0.85*'18年合同登记表'!#REF!/'18年合同登记表'!#REF!</f>
        <v>#REF!</v>
      </c>
      <c r="AU59" s="122" t="e">
        <f>客服部最终提成计算表!$X61*0.15*0.8*0.08*'18年合同登记表'!#REF!/'18年合同登记表'!#REF!</f>
        <v>#REF!</v>
      </c>
      <c r="AV59" s="122" t="e">
        <f>客服部最终提成计算表!$X61*0.15*0.8*0.05*'18年合同登记表'!#REF!/'18年合同登记表'!#REF!</f>
        <v>#REF!</v>
      </c>
      <c r="AW59" s="122" t="e">
        <f>客服部最终提成计算表!$X61*0.15*0.8*0.02*'18年合同登记表'!#REF!/'18年合同登记表'!#REF!</f>
        <v>#REF!</v>
      </c>
      <c r="AX59" s="122" t="e">
        <f>客服部最终提成计算表!$X61*0.15*0.8*0.85*'18年合同登记表'!#REF!/'18年合同登记表'!#REF!</f>
        <v>#REF!</v>
      </c>
      <c r="AY59" s="122" t="e">
        <f>客服部最终提成计算表!$X61*0.15*0.8*0.08*'18年合同登记表'!#REF!/'18年合同登记表'!#REF!</f>
        <v>#REF!</v>
      </c>
      <c r="AZ59" s="122" t="e">
        <f>客服部最终提成计算表!$X61*0.15*0.8*0.05*'18年合同登记表'!#REF!/'18年合同登记表'!#REF!</f>
        <v>#REF!</v>
      </c>
      <c r="BA59" s="131" t="e">
        <f>客服部最终提成计算表!$X61*0.15*0.8*0.02*'18年合同登记表'!#REF!/'18年合同登记表'!#REF!</f>
        <v>#REF!</v>
      </c>
    </row>
    <row r="60" s="104" customFormat="1" ht="14.25" spans="1:53">
      <c r="A60" s="123" t="s">
        <v>978</v>
      </c>
      <c r="B60" s="124">
        <f>'18年合同登记表'!F60</f>
        <v>0</v>
      </c>
      <c r="C60" s="125">
        <f>'18年合同登记表'!H60</f>
        <v>0</v>
      </c>
      <c r="D60" s="125">
        <f>'18年合同登记表'!I60</f>
        <v>0</v>
      </c>
      <c r="E60" s="126">
        <f>'18年合同登记表'!L60</f>
        <v>0</v>
      </c>
      <c r="F60" s="127" t="e">
        <f>SUM(F52:F59)</f>
        <v>#REF!</v>
      </c>
      <c r="G60" s="128" t="e">
        <f>客服部最终提成计算表!$X62*0.15*0.8*0.08*'18年合同登记表'!T60/'18年合同登记表'!$M60</f>
        <v>#REF!</v>
      </c>
      <c r="H60" s="128" t="e">
        <f>客服部最终提成计算表!$X62*0.15*0.8*0.05*'18年合同登记表'!T60/'18年合同登记表'!$M60</f>
        <v>#REF!</v>
      </c>
      <c r="I60" s="128" t="e">
        <f>客服部最终提成计算表!$X62*0.15*0.8*0.02*'18年合同登记表'!T60/'18年合同登记表'!$M60</f>
        <v>#REF!</v>
      </c>
      <c r="J60" s="128" t="e">
        <f>客服部最终提成计算表!$X62*0.15*0.8*0.85*'18年合同登记表'!V60/'18年合同登记表'!$M60</f>
        <v>#REF!</v>
      </c>
      <c r="K60" s="128" t="e">
        <f>客服部最终提成计算表!$X62*0.15*0.8*0.08*'18年合同登记表'!V60/'18年合同登记表'!$M60</f>
        <v>#REF!</v>
      </c>
      <c r="L60" s="128" t="e">
        <f>客服部最终提成计算表!$X62*0.15*0.8*0.05*'18年合同登记表'!V60/'18年合同登记表'!$M60</f>
        <v>#REF!</v>
      </c>
      <c r="M60" s="128" t="e">
        <f>客服部最终提成计算表!$X62*0.15*0.8*0.02*'18年合同登记表'!V60/'18年合同登记表'!$M60</f>
        <v>#REF!</v>
      </c>
      <c r="N60" s="128" t="e">
        <f>客服部最终提成计算表!$X62*0.15*0.8*0.85*'18年合同登记表'!X60/'18年合同登记表'!$M60</f>
        <v>#REF!</v>
      </c>
      <c r="O60" s="128" t="e">
        <f>客服部最终提成计算表!$X62*0.15*0.8*0.08*'18年合同登记表'!X60/'18年合同登记表'!$M60</f>
        <v>#REF!</v>
      </c>
      <c r="P60" s="128" t="e">
        <f>客服部最终提成计算表!$X62*0.15*0.8*0.05*'18年合同登记表'!X60/'18年合同登记表'!$M60</f>
        <v>#REF!</v>
      </c>
      <c r="Q60" s="128" t="e">
        <f>客服部最终提成计算表!$X62*0.15*0.8*0.02*'18年合同登记表'!X60/'18年合同登记表'!$M60</f>
        <v>#REF!</v>
      </c>
      <c r="R60" s="128" t="e">
        <f>客服部最终提成计算表!$X62*0.15*0.8*0.85*'18年合同登记表'!Z60/'18年合同登记表'!$M60</f>
        <v>#REF!</v>
      </c>
      <c r="S60" s="128" t="e">
        <f>客服部最终提成计算表!$X62*0.15*0.8*0.08*'18年合同登记表'!Z60/'18年合同登记表'!$M60</f>
        <v>#REF!</v>
      </c>
      <c r="T60" s="128" t="e">
        <f>客服部最终提成计算表!$X62*0.15*0.8*0.05*'18年合同登记表'!Z60/'18年合同登记表'!$M60</f>
        <v>#REF!</v>
      </c>
      <c r="U60" s="128" t="e">
        <f>客服部最终提成计算表!$X62*0.15*0.8*0.02*'18年合同登记表'!Z60/'18年合同登记表'!$M60</f>
        <v>#REF!</v>
      </c>
      <c r="V60" s="128" t="e">
        <f>客服部最终提成计算表!$X62*0.15*0.8*0.85*'18年合同登记表'!AB60/'18年合同登记表'!$M60</f>
        <v>#REF!</v>
      </c>
      <c r="W60" s="128" t="e">
        <f>客服部最终提成计算表!$X62*0.15*0.8*0.08*'18年合同登记表'!AB60/'18年合同登记表'!$M60</f>
        <v>#REF!</v>
      </c>
      <c r="X60" s="128" t="e">
        <f>客服部最终提成计算表!$X62*0.15*0.8*0.05*'18年合同登记表'!AB60/'18年合同登记表'!$M60</f>
        <v>#REF!</v>
      </c>
      <c r="Y60" s="128" t="e">
        <f>客服部最终提成计算表!$X62*0.15*0.8*0.02*'18年合同登记表'!AB60/'18年合同登记表'!$M60</f>
        <v>#REF!</v>
      </c>
      <c r="Z60" s="128" t="e">
        <f>客服部最终提成计算表!$X62*0.15*0.8*0.85*'18年合同登记表'!AD60/'18年合同登记表'!$M60</f>
        <v>#REF!</v>
      </c>
      <c r="AA60" s="128" t="e">
        <f>客服部最终提成计算表!$X62*0.15*0.8*0.08*'18年合同登记表'!AD60/'18年合同登记表'!$M60</f>
        <v>#REF!</v>
      </c>
      <c r="AB60" s="128" t="e">
        <f>客服部最终提成计算表!$X62*0.15*0.8*0.05*'18年合同登记表'!AD60/'18年合同登记表'!$M60</f>
        <v>#REF!</v>
      </c>
      <c r="AC60" s="128" t="e">
        <f>客服部最终提成计算表!$X62*0.15*0.8*0.02*'18年合同登记表'!AD60/'18年合同登记表'!$M60</f>
        <v>#REF!</v>
      </c>
      <c r="AD60" s="128" t="e">
        <f>客服部最终提成计算表!$X62*0.15*0.8*0.85*'18年合同登记表'!AF60/'18年合同登记表'!$M60</f>
        <v>#REF!</v>
      </c>
      <c r="AE60" s="128" t="e">
        <f>客服部最终提成计算表!$X62*0.15*0.8*0.08*'18年合同登记表'!AF60/'18年合同登记表'!$M60</f>
        <v>#REF!</v>
      </c>
      <c r="AF60" s="128" t="e">
        <f>客服部最终提成计算表!$X62*0.15*0.8*0.05*'18年合同登记表'!AF60/'18年合同登记表'!$M60</f>
        <v>#REF!</v>
      </c>
      <c r="AG60" s="128" t="e">
        <f>客服部最终提成计算表!$X62*0.15*0.8*0.02*'18年合同登记表'!AF60/'18年合同登记表'!$M60</f>
        <v>#REF!</v>
      </c>
      <c r="AH60" s="128" t="e">
        <f>客服部最终提成计算表!$X62*0.15*0.8*0.85*'18年合同登记表'!AH60/'18年合同登记表'!$M60</f>
        <v>#REF!</v>
      </c>
      <c r="AI60" s="128" t="e">
        <f>客服部最终提成计算表!$X62*0.15*0.8*0.08*'18年合同登记表'!AH60/'18年合同登记表'!$M60</f>
        <v>#REF!</v>
      </c>
      <c r="AJ60" s="128" t="e">
        <f>客服部最终提成计算表!$X62*0.15*0.8*0.05*'18年合同登记表'!AH60/'18年合同登记表'!$M60</f>
        <v>#REF!</v>
      </c>
      <c r="AK60" s="128" t="e">
        <f>客服部最终提成计算表!$X62*0.15*0.8*0.02*'18年合同登记表'!AH60/'18年合同登记表'!$M60</f>
        <v>#REF!</v>
      </c>
      <c r="AL60" s="128" t="e">
        <f>客服部最终提成计算表!$X62*0.15*0.8*0.85*'18年合同登记表'!AJ60/'18年合同登记表'!$M60</f>
        <v>#REF!</v>
      </c>
      <c r="AM60" s="128" t="e">
        <f>客服部最终提成计算表!$X62*0.15*0.8*0.08*'18年合同登记表'!AJ60/'18年合同登记表'!$M60</f>
        <v>#REF!</v>
      </c>
      <c r="AN60" s="128" t="e">
        <f>客服部最终提成计算表!$X62*0.15*0.8*0.05*'18年合同登记表'!AJ60/'18年合同登记表'!$M60</f>
        <v>#REF!</v>
      </c>
      <c r="AO60" s="128" t="e">
        <f>客服部最终提成计算表!$X62*0.15*0.8*0.02*'18年合同登记表'!AJ60/'18年合同登记表'!$M60</f>
        <v>#REF!</v>
      </c>
      <c r="AP60" s="128" t="e">
        <f>客服部最终提成计算表!$X62*0.15*0.8*0.85*'18年合同登记表'!AL60/'18年合同登记表'!$M60</f>
        <v>#REF!</v>
      </c>
      <c r="AQ60" s="128" t="e">
        <f>客服部最终提成计算表!$X62*0.15*0.8*0.08*'18年合同登记表'!AL60/'18年合同登记表'!$M60</f>
        <v>#REF!</v>
      </c>
      <c r="AR60" s="128" t="e">
        <f>客服部最终提成计算表!$X62*0.15*0.8*0.05*'18年合同登记表'!AL60/'18年合同登记表'!$M60</f>
        <v>#REF!</v>
      </c>
      <c r="AS60" s="128" t="e">
        <f>客服部最终提成计算表!$X62*0.15*0.8*0.02*'18年合同登记表'!AL60/'18年合同登记表'!$M60</f>
        <v>#REF!</v>
      </c>
      <c r="AT60" s="128" t="e">
        <f>客服部最终提成计算表!$X62*0.15*0.8*0.85*'18年合同登记表'!AN60/'18年合同登记表'!$M60</f>
        <v>#REF!</v>
      </c>
      <c r="AU60" s="128" t="e">
        <f>客服部最终提成计算表!$X62*0.15*0.8*0.08*'18年合同登记表'!AN60/'18年合同登记表'!$M60</f>
        <v>#REF!</v>
      </c>
      <c r="AV60" s="128" t="e">
        <f>客服部最终提成计算表!$X62*0.15*0.8*0.05*'18年合同登记表'!AN60/'18年合同登记表'!$M60</f>
        <v>#REF!</v>
      </c>
      <c r="AW60" s="128" t="e">
        <f>客服部最终提成计算表!$X62*0.15*0.8*0.02*'18年合同登记表'!AN60/'18年合同登记表'!$M60</f>
        <v>#REF!</v>
      </c>
      <c r="AX60" s="128" t="e">
        <f>客服部最终提成计算表!$X62*0.15*0.8*0.85*'18年合同登记表'!AP60/'18年合同登记表'!$M60</f>
        <v>#REF!</v>
      </c>
      <c r="AY60" s="128" t="e">
        <f>客服部最终提成计算表!$X62*0.15*0.8*0.08*'18年合同登记表'!AP60/'18年合同登记表'!$M60</f>
        <v>#REF!</v>
      </c>
      <c r="AZ60" s="128" t="e">
        <f>客服部最终提成计算表!$X62*0.15*0.8*0.05*'18年合同登记表'!AP60/'18年合同登记表'!$M60</f>
        <v>#REF!</v>
      </c>
      <c r="BA60" s="132" t="e">
        <f>客服部最终提成计算表!$X62*0.15*0.8*0.02*'18年合同登记表'!AP60/'18年合同登记表'!$M60</f>
        <v>#REF!</v>
      </c>
    </row>
    <row r="61" s="104" customFormat="1" ht="14.25" spans="1:53">
      <c r="A61" s="123" t="s">
        <v>979</v>
      </c>
      <c r="B61" s="124">
        <f>'18年合同登记表'!F61</f>
        <v>0</v>
      </c>
      <c r="C61" s="125">
        <f>'18年合同登记表'!H61</f>
        <v>0</v>
      </c>
      <c r="D61" s="125">
        <f>'18年合同登记表'!I61</f>
        <v>0</v>
      </c>
      <c r="E61" s="126">
        <f>'18年合同登记表'!L61</f>
        <v>0</v>
      </c>
      <c r="F61" s="127" t="e">
        <f>F51+F60</f>
        <v>#REF!</v>
      </c>
      <c r="G61" s="127" t="e">
        <f t="shared" ref="G61" si="49">G51+G60</f>
        <v>#REF!</v>
      </c>
      <c r="H61" s="127" t="e">
        <f t="shared" ref="H61" si="50">H51+H60</f>
        <v>#REF!</v>
      </c>
      <c r="I61" s="127" t="e">
        <f t="shared" ref="I61" si="51">I51+I60</f>
        <v>#REF!</v>
      </c>
      <c r="J61" s="127" t="e">
        <f t="shared" ref="J61" si="52">J51+J60</f>
        <v>#REF!</v>
      </c>
      <c r="K61" s="127" t="e">
        <f t="shared" ref="K61" si="53">K51+K60</f>
        <v>#REF!</v>
      </c>
      <c r="L61" s="127" t="e">
        <f t="shared" ref="L61" si="54">L51+L60</f>
        <v>#REF!</v>
      </c>
      <c r="M61" s="127" t="e">
        <f t="shared" ref="M61" si="55">M51+M60</f>
        <v>#REF!</v>
      </c>
      <c r="N61" s="127" t="e">
        <f t="shared" ref="N61" si="56">N51+N60</f>
        <v>#REF!</v>
      </c>
      <c r="O61" s="127" t="e">
        <f t="shared" ref="O61" si="57">O51+O60</f>
        <v>#REF!</v>
      </c>
      <c r="P61" s="127" t="e">
        <f t="shared" ref="P61" si="58">P51+P60</f>
        <v>#REF!</v>
      </c>
      <c r="Q61" s="127" t="e">
        <f t="shared" ref="Q61" si="59">Q51+Q60</f>
        <v>#REF!</v>
      </c>
      <c r="R61" s="127" t="e">
        <f t="shared" ref="R61" si="60">R51+R60</f>
        <v>#REF!</v>
      </c>
      <c r="S61" s="127" t="e">
        <f t="shared" ref="S61" si="61">S51+S60</f>
        <v>#REF!</v>
      </c>
      <c r="T61" s="127" t="e">
        <f t="shared" ref="T61" si="62">T51+T60</f>
        <v>#REF!</v>
      </c>
      <c r="U61" s="127" t="e">
        <f t="shared" ref="U61" si="63">U51+U60</f>
        <v>#REF!</v>
      </c>
      <c r="V61" s="127" t="e">
        <f t="shared" ref="V61" si="64">V51+V60</f>
        <v>#REF!</v>
      </c>
      <c r="W61" s="127" t="e">
        <f t="shared" ref="W61" si="65">W51+W60</f>
        <v>#REF!</v>
      </c>
      <c r="X61" s="127" t="e">
        <f t="shared" ref="X61" si="66">X51+X60</f>
        <v>#REF!</v>
      </c>
      <c r="Y61" s="127" t="e">
        <f t="shared" ref="Y61" si="67">Y51+Y60</f>
        <v>#REF!</v>
      </c>
      <c r="Z61" s="127" t="e">
        <f t="shared" ref="Z61" si="68">Z51+Z60</f>
        <v>#REF!</v>
      </c>
      <c r="AA61" s="127" t="e">
        <f t="shared" ref="AA61" si="69">AA51+AA60</f>
        <v>#REF!</v>
      </c>
      <c r="AB61" s="127" t="e">
        <f t="shared" ref="AB61" si="70">AB51+AB60</f>
        <v>#REF!</v>
      </c>
      <c r="AC61" s="127" t="e">
        <f t="shared" ref="AC61" si="71">AC51+AC60</f>
        <v>#REF!</v>
      </c>
      <c r="AD61" s="127" t="e">
        <f t="shared" ref="AD61" si="72">AD51+AD60</f>
        <v>#REF!</v>
      </c>
      <c r="AE61" s="127" t="e">
        <f t="shared" ref="AE61" si="73">AE51+AE60</f>
        <v>#REF!</v>
      </c>
      <c r="AF61" s="127" t="e">
        <f t="shared" ref="AF61" si="74">AF51+AF60</f>
        <v>#REF!</v>
      </c>
      <c r="AG61" s="127" t="e">
        <f t="shared" ref="AG61" si="75">AG51+AG60</f>
        <v>#REF!</v>
      </c>
      <c r="AH61" s="127" t="e">
        <f t="shared" ref="AH61" si="76">AH51+AH60</f>
        <v>#REF!</v>
      </c>
      <c r="AI61" s="127" t="e">
        <f t="shared" ref="AI61" si="77">AI51+AI60</f>
        <v>#REF!</v>
      </c>
      <c r="AJ61" s="127" t="e">
        <f t="shared" ref="AJ61" si="78">AJ51+AJ60</f>
        <v>#REF!</v>
      </c>
      <c r="AK61" s="127" t="e">
        <f t="shared" ref="AK61" si="79">AK51+AK60</f>
        <v>#REF!</v>
      </c>
      <c r="AL61" s="127" t="e">
        <f t="shared" ref="AL61" si="80">AL51+AL60</f>
        <v>#REF!</v>
      </c>
      <c r="AM61" s="127" t="e">
        <f t="shared" ref="AM61" si="81">AM51+AM60</f>
        <v>#REF!</v>
      </c>
      <c r="AN61" s="127" t="e">
        <f t="shared" ref="AN61" si="82">AN51+AN60</f>
        <v>#REF!</v>
      </c>
      <c r="AO61" s="127" t="e">
        <f t="shared" ref="AO61" si="83">AO51+AO60</f>
        <v>#REF!</v>
      </c>
      <c r="AP61" s="127" t="e">
        <f t="shared" ref="AP61" si="84">AP51+AP60</f>
        <v>#REF!</v>
      </c>
      <c r="AQ61" s="127" t="e">
        <f t="shared" ref="AQ61" si="85">AQ51+AQ60</f>
        <v>#REF!</v>
      </c>
      <c r="AR61" s="127" t="e">
        <f t="shared" ref="AR61" si="86">AR51+AR60</f>
        <v>#REF!</v>
      </c>
      <c r="AS61" s="127" t="e">
        <f t="shared" ref="AS61" si="87">AS51+AS60</f>
        <v>#REF!</v>
      </c>
      <c r="AT61" s="127" t="e">
        <f t="shared" ref="AT61" si="88">AT51+AT60</f>
        <v>#REF!</v>
      </c>
      <c r="AU61" s="127" t="e">
        <f t="shared" ref="AU61" si="89">AU51+AU60</f>
        <v>#REF!</v>
      </c>
      <c r="AV61" s="127" t="e">
        <f t="shared" ref="AV61" si="90">AV51+AV60</f>
        <v>#REF!</v>
      </c>
      <c r="AW61" s="127" t="e">
        <f t="shared" ref="AW61" si="91">AW51+AW60</f>
        <v>#REF!</v>
      </c>
      <c r="AX61" s="127" t="e">
        <f t="shared" ref="AX61" si="92">AX51+AX60</f>
        <v>#REF!</v>
      </c>
      <c r="AY61" s="127" t="e">
        <f t="shared" ref="AY61" si="93">AY51+AY60</f>
        <v>#REF!</v>
      </c>
      <c r="AZ61" s="127" t="e">
        <f t="shared" ref="AZ61" si="94">AZ51+AZ60</f>
        <v>#REF!</v>
      </c>
      <c r="BA61" s="127" t="e">
        <f t="shared" ref="BA61" si="95">BA51+BA60</f>
        <v>#REF!</v>
      </c>
    </row>
    <row r="62" s="104" customFormat="1" ht="14.25" spans="1:53">
      <c r="A62" s="117"/>
      <c r="B62" s="118" t="str">
        <f>'18年合同登记表'!F62</f>
        <v>九鼎仰山公园</v>
      </c>
      <c r="C62" s="119" t="str">
        <f>'18年合同登记表'!H62</f>
        <v>NHY-20180224-W-01-014-001</v>
      </c>
      <c r="D62" s="119" t="str">
        <f>'18年合同登记表'!I62</f>
        <v>直燃机捡漏补漏</v>
      </c>
      <c r="E62" s="120" t="str">
        <f>'18年合同登记表'!L62</f>
        <v>陈勇/</v>
      </c>
      <c r="F62" s="121">
        <f>客服部最终提成计算表!$X64*0.15*0.8*0.85*'18年合同登记表'!T62/'18年合同登记表'!$M62</f>
        <v>0</v>
      </c>
      <c r="G62" s="122">
        <f>客服部最终提成计算表!$X64*0.15*0.8*0.08*'18年合同登记表'!T62/'18年合同登记表'!$M62</f>
        <v>0</v>
      </c>
      <c r="H62" s="122">
        <f>客服部最终提成计算表!$X64*0.15*0.8*0.05*'18年合同登记表'!T62/'18年合同登记表'!$M62</f>
        <v>0</v>
      </c>
      <c r="I62" s="122">
        <f>客服部最终提成计算表!$X64*0.15*0.8*0.02*'18年合同登记表'!T62/'18年合同登记表'!$M62</f>
        <v>0</v>
      </c>
      <c r="J62" s="122">
        <f>客服部最终提成计算表!$X64*0.15*0.8*0.85*'18年合同登记表'!V62/'18年合同登记表'!$M62</f>
        <v>0</v>
      </c>
      <c r="K62" s="122">
        <f>客服部最终提成计算表!$X64*0.15*0.8*0.08*'18年合同登记表'!V62/'18年合同登记表'!$M62</f>
        <v>0</v>
      </c>
      <c r="L62" s="122">
        <f>客服部最终提成计算表!$X64*0.15*0.8*0.05*'18年合同登记表'!V62/'18年合同登记表'!$M62</f>
        <v>0</v>
      </c>
      <c r="M62" s="122">
        <f>客服部最终提成计算表!$X64*0.15*0.8*0.02*'18年合同登记表'!V62/'18年合同登记表'!$M62</f>
        <v>0</v>
      </c>
      <c r="N62" s="122">
        <f>客服部最终提成计算表!$X64*0.15*0.8*0.85*'18年合同登记表'!X62/'18年合同登记表'!$M62</f>
        <v>0</v>
      </c>
      <c r="O62" s="122">
        <f>客服部最终提成计算表!$X64*0.15*0.8*0.08*'18年合同登记表'!X62/'18年合同登记表'!$M62</f>
        <v>0</v>
      </c>
      <c r="P62" s="122">
        <f>客服部最终提成计算表!$X64*0.15*0.8*0.05*'18年合同登记表'!X62/'18年合同登记表'!$M62</f>
        <v>0</v>
      </c>
      <c r="Q62" s="122">
        <f>客服部最终提成计算表!$X64*0.15*0.8*0.02*'18年合同登记表'!X62/'18年合同登记表'!$M62</f>
        <v>0</v>
      </c>
      <c r="R62" s="122">
        <f>客服部最终提成计算表!$X64*0.15*0.8*0.85*'18年合同登记表'!Z62/'18年合同登记表'!$M62</f>
        <v>0</v>
      </c>
      <c r="S62" s="122">
        <f>客服部最终提成计算表!$X64*0.15*0.8*0.08*'18年合同登记表'!Z62/'18年合同登记表'!$M62</f>
        <v>0</v>
      </c>
      <c r="T62" s="122">
        <f>客服部最终提成计算表!$X64*0.15*0.8*0.05*'18年合同登记表'!Z62/'18年合同登记表'!$M62</f>
        <v>0</v>
      </c>
      <c r="U62" s="122">
        <f>客服部最终提成计算表!$X64*0.15*0.8*0.02*'18年合同登记表'!Z62/'18年合同登记表'!$M62</f>
        <v>0</v>
      </c>
      <c r="V62" s="122">
        <f>客服部最终提成计算表!$X64*0.15*0.8*0.85*'18年合同登记表'!AB62/'18年合同登记表'!$M62</f>
        <v>1020</v>
      </c>
      <c r="W62" s="122">
        <f>客服部最终提成计算表!$X64*0.15*0.8*0.08*'18年合同登记表'!AB62/'18年合同登记表'!$M62</f>
        <v>96</v>
      </c>
      <c r="X62" s="122">
        <f>客服部最终提成计算表!$X64*0.15*0.8*0.05*'18年合同登记表'!AB62/'18年合同登记表'!$M62</f>
        <v>60</v>
      </c>
      <c r="Y62" s="122">
        <f>客服部最终提成计算表!$X64*0.15*0.8*0.02*'18年合同登记表'!AB62/'18年合同登记表'!$M62</f>
        <v>24</v>
      </c>
      <c r="Z62" s="122">
        <f>客服部最终提成计算表!$X64*0.15*0.8*0.85*'18年合同登记表'!AD62/'18年合同登记表'!$M62</f>
        <v>0</v>
      </c>
      <c r="AA62" s="122">
        <f>客服部最终提成计算表!$X64*0.15*0.8*0.08*'18年合同登记表'!AD62/'18年合同登记表'!$M62</f>
        <v>0</v>
      </c>
      <c r="AB62" s="122">
        <f>客服部最终提成计算表!$X64*0.15*0.8*0.05*'18年合同登记表'!AD62/'18年合同登记表'!$M62</f>
        <v>0</v>
      </c>
      <c r="AC62" s="122">
        <f>客服部最终提成计算表!$X64*0.15*0.8*0.02*'18年合同登记表'!AD62/'18年合同登记表'!$M62</f>
        <v>0</v>
      </c>
      <c r="AD62" s="122">
        <f>客服部最终提成计算表!$X64*0.15*0.8*0.85*'18年合同登记表'!AF62/'18年合同登记表'!$M62</f>
        <v>0</v>
      </c>
      <c r="AE62" s="122">
        <f>客服部最终提成计算表!$X64*0.15*0.8*0.08*'18年合同登记表'!AF62/'18年合同登记表'!$M62</f>
        <v>0</v>
      </c>
      <c r="AF62" s="122">
        <f>客服部最终提成计算表!$X64*0.15*0.8*0.05*'18年合同登记表'!AF62/'18年合同登记表'!$M62</f>
        <v>0</v>
      </c>
      <c r="AG62" s="122">
        <f>客服部最终提成计算表!$X64*0.15*0.8*0.02*'18年合同登记表'!AF62/'18年合同登记表'!$M62</f>
        <v>0</v>
      </c>
      <c r="AH62" s="122">
        <f>客服部最终提成计算表!$X64*0.15*0.8*0.85*'18年合同登记表'!AH62/'18年合同登记表'!$M62</f>
        <v>0</v>
      </c>
      <c r="AI62" s="122">
        <f>客服部最终提成计算表!$X64*0.15*0.8*0.08*'18年合同登记表'!AH62/'18年合同登记表'!$M62</f>
        <v>0</v>
      </c>
      <c r="AJ62" s="122">
        <f>客服部最终提成计算表!$X64*0.15*0.8*0.05*'18年合同登记表'!AH62/'18年合同登记表'!$M62</f>
        <v>0</v>
      </c>
      <c r="AK62" s="122">
        <f>客服部最终提成计算表!$X64*0.15*0.8*0.02*'18年合同登记表'!AH62/'18年合同登记表'!$M62</f>
        <v>0</v>
      </c>
      <c r="AL62" s="122">
        <f>客服部最终提成计算表!$X64*0.15*0.8*0.85*'18年合同登记表'!AJ62/'18年合同登记表'!$M62</f>
        <v>0</v>
      </c>
      <c r="AM62" s="122">
        <f>客服部最终提成计算表!$X64*0.15*0.8*0.08*'18年合同登记表'!AJ62/'18年合同登记表'!$M62</f>
        <v>0</v>
      </c>
      <c r="AN62" s="122">
        <f>客服部最终提成计算表!$X64*0.15*0.8*0.05*'18年合同登记表'!AJ62/'18年合同登记表'!$M62</f>
        <v>0</v>
      </c>
      <c r="AO62" s="122">
        <f>客服部最终提成计算表!$X64*0.15*0.8*0.02*'18年合同登记表'!AJ62/'18年合同登记表'!$M62</f>
        <v>0</v>
      </c>
      <c r="AP62" s="122">
        <f>客服部最终提成计算表!$X64*0.15*0.8*0.85*'18年合同登记表'!AL62/'18年合同登记表'!$M62</f>
        <v>0</v>
      </c>
      <c r="AQ62" s="122">
        <f>客服部最终提成计算表!$X64*0.15*0.8*0.08*'18年合同登记表'!AL62/'18年合同登记表'!$M62</f>
        <v>0</v>
      </c>
      <c r="AR62" s="122">
        <f>客服部最终提成计算表!$X64*0.15*0.8*0.05*'18年合同登记表'!AL62/'18年合同登记表'!$M62</f>
        <v>0</v>
      </c>
      <c r="AS62" s="122">
        <f>客服部最终提成计算表!$X64*0.15*0.8*0.02*'18年合同登记表'!AL62/'18年合同登记表'!$M62</f>
        <v>0</v>
      </c>
      <c r="AT62" s="122">
        <f>客服部最终提成计算表!$X64*0.15*0.8*0.85*'18年合同登记表'!AN62/'18年合同登记表'!$M62</f>
        <v>0</v>
      </c>
      <c r="AU62" s="122">
        <f>客服部最终提成计算表!$X64*0.15*0.8*0.08*'18年合同登记表'!AN62/'18年合同登记表'!$M62</f>
        <v>0</v>
      </c>
      <c r="AV62" s="122">
        <f>客服部最终提成计算表!$X64*0.15*0.8*0.05*'18年合同登记表'!AN62/'18年合同登记表'!$M62</f>
        <v>0</v>
      </c>
      <c r="AW62" s="122">
        <f>客服部最终提成计算表!$X64*0.15*0.8*0.02*'18年合同登记表'!AN62/'18年合同登记表'!$M62</f>
        <v>0</v>
      </c>
      <c r="AX62" s="122">
        <f>客服部最终提成计算表!$X64*0.15*0.8*0.85*'18年合同登记表'!AP62/'18年合同登记表'!$M62</f>
        <v>0</v>
      </c>
      <c r="AY62" s="122">
        <f>客服部最终提成计算表!$X64*0.15*0.8*0.08*'18年合同登记表'!AP62/'18年合同登记表'!$M62</f>
        <v>0</v>
      </c>
      <c r="AZ62" s="122">
        <f>客服部最终提成计算表!$X64*0.15*0.8*0.05*'18年合同登记表'!AP62/'18年合同登记表'!$M62</f>
        <v>0</v>
      </c>
      <c r="BA62" s="131">
        <f>客服部最终提成计算表!$X64*0.15*0.8*0.02*'18年合同登记表'!AP62/'18年合同登记表'!$M62</f>
        <v>0</v>
      </c>
    </row>
    <row r="63" s="104" customFormat="1" ht="14.25" spans="1:53">
      <c r="A63" s="117"/>
      <c r="B63" s="118" t="str">
        <f>'18年合同登记表'!F63</f>
        <v>朝阳区规划艺术馆</v>
      </c>
      <c r="C63" s="119" t="str">
        <f>'18年合同登记表'!H63</f>
        <v>没有编号</v>
      </c>
      <c r="D63" s="119" t="str">
        <f>'18年合同登记表'!I63</f>
        <v>空调系统水泵更新合同</v>
      </c>
      <c r="E63" s="120" t="str">
        <f>'18年合同登记表'!L63</f>
        <v>陈勇</v>
      </c>
      <c r="F63" s="121">
        <f>客服部最终提成计算表!$X65*0.15*0.8*0.85*'18年合同登记表'!T63/'18年合同登记表'!$M63</f>
        <v>0</v>
      </c>
      <c r="G63" s="122">
        <f>客服部最终提成计算表!$X65*0.15*0.8*0.08*'18年合同登记表'!T63/'18年合同登记表'!$M63</f>
        <v>0</v>
      </c>
      <c r="H63" s="122">
        <f>客服部最终提成计算表!$X65*0.15*0.8*0.05*'18年合同登记表'!T63/'18年合同登记表'!$M63</f>
        <v>0</v>
      </c>
      <c r="I63" s="122">
        <f>客服部最终提成计算表!$X65*0.15*0.8*0.02*'18年合同登记表'!T63/'18年合同登记表'!$M63</f>
        <v>0</v>
      </c>
      <c r="J63" s="122">
        <f>客服部最终提成计算表!$X65*0.15*0.8*0.85*'18年合同登记表'!V63/'18年合同登记表'!$M63</f>
        <v>0</v>
      </c>
      <c r="K63" s="122">
        <f>客服部最终提成计算表!$X65*0.15*0.8*0.08*'18年合同登记表'!V63/'18年合同登记表'!$M63</f>
        <v>0</v>
      </c>
      <c r="L63" s="122">
        <f>客服部最终提成计算表!$X65*0.15*0.8*0.05*'18年合同登记表'!V63/'18年合同登记表'!$M63</f>
        <v>0</v>
      </c>
      <c r="M63" s="122">
        <f>客服部最终提成计算表!$X65*0.15*0.8*0.02*'18年合同登记表'!V63/'18年合同登记表'!$M63</f>
        <v>0</v>
      </c>
      <c r="N63" s="122">
        <f>客服部最终提成计算表!$X65*0.15*0.8*0.85*'18年合同登记表'!X63/'18年合同登记表'!$M63</f>
        <v>0</v>
      </c>
      <c r="O63" s="122">
        <f>客服部最终提成计算表!$X65*0.15*0.8*0.08*'18年合同登记表'!X63/'18年合同登记表'!$M63</f>
        <v>0</v>
      </c>
      <c r="P63" s="122">
        <f>客服部最终提成计算表!$X65*0.15*0.8*0.05*'18年合同登记表'!X63/'18年合同登记表'!$M63</f>
        <v>0</v>
      </c>
      <c r="Q63" s="122">
        <f>客服部最终提成计算表!$X65*0.15*0.8*0.02*'18年合同登记表'!X63/'18年合同登记表'!$M63</f>
        <v>0</v>
      </c>
      <c r="R63" s="122">
        <f>客服部最终提成计算表!$X65*0.15*0.8*0.85*'18年合同登记表'!Z63/'18年合同登记表'!$M63</f>
        <v>0</v>
      </c>
      <c r="S63" s="122">
        <f>客服部最终提成计算表!$X65*0.15*0.8*0.08*'18年合同登记表'!Z63/'18年合同登记表'!$M63</f>
        <v>0</v>
      </c>
      <c r="T63" s="122">
        <f>客服部最终提成计算表!$X65*0.15*0.8*0.05*'18年合同登记表'!Z63/'18年合同登记表'!$M63</f>
        <v>0</v>
      </c>
      <c r="U63" s="122">
        <f>客服部最终提成计算表!$X65*0.15*0.8*0.02*'18年合同登记表'!Z63/'18年合同登记表'!$M63</f>
        <v>0</v>
      </c>
      <c r="V63" s="122">
        <f>客服部最终提成计算表!$X65*0.15*0.8*0.85*'18年合同登记表'!AB63/'18年合同登记表'!$M63</f>
        <v>14229</v>
      </c>
      <c r="W63" s="122">
        <f>客服部最终提成计算表!$X65*0.15*0.8*0.08*'18年合同登记表'!AB63/'18年合同登记表'!$M63</f>
        <v>1339.2</v>
      </c>
      <c r="X63" s="122">
        <f>客服部最终提成计算表!$X65*0.15*0.8*0.05*'18年合同登记表'!AB63/'18年合同登记表'!$M63</f>
        <v>837</v>
      </c>
      <c r="Y63" s="122">
        <f>客服部最终提成计算表!$X65*0.15*0.8*0.02*'18年合同登记表'!AB63/'18年合同登记表'!$M63</f>
        <v>334.8</v>
      </c>
      <c r="Z63" s="122">
        <f>客服部最终提成计算表!$X65*0.15*0.8*0.85*'18年合同登记表'!AD63/'18年合同登记表'!$M63</f>
        <v>0</v>
      </c>
      <c r="AA63" s="122">
        <f>客服部最终提成计算表!$X65*0.15*0.8*0.08*'18年合同登记表'!AD63/'18年合同登记表'!$M63</f>
        <v>0</v>
      </c>
      <c r="AB63" s="122">
        <f>客服部最终提成计算表!$X65*0.15*0.8*0.05*'18年合同登记表'!AD63/'18年合同登记表'!$M63</f>
        <v>0</v>
      </c>
      <c r="AC63" s="122">
        <f>客服部最终提成计算表!$X65*0.15*0.8*0.02*'18年合同登记表'!AD63/'18年合同登记表'!$M63</f>
        <v>0</v>
      </c>
      <c r="AD63" s="122">
        <f>客服部最终提成计算表!$X65*0.15*0.8*0.85*'18年合同登记表'!AF63/'18年合同登记表'!$M63</f>
        <v>0</v>
      </c>
      <c r="AE63" s="122">
        <f>客服部最终提成计算表!$X65*0.15*0.8*0.08*'18年合同登记表'!AF63/'18年合同登记表'!$M63</f>
        <v>0</v>
      </c>
      <c r="AF63" s="122">
        <f>客服部最终提成计算表!$X65*0.15*0.8*0.05*'18年合同登记表'!AF63/'18年合同登记表'!$M63</f>
        <v>0</v>
      </c>
      <c r="AG63" s="122">
        <f>客服部最终提成计算表!$X65*0.15*0.8*0.02*'18年合同登记表'!AF63/'18年合同登记表'!$M63</f>
        <v>0</v>
      </c>
      <c r="AH63" s="122">
        <f>客服部最终提成计算表!$X65*0.15*0.8*0.85*'18年合同登记表'!AH63/'18年合同登记表'!$M63</f>
        <v>0</v>
      </c>
      <c r="AI63" s="122">
        <f>客服部最终提成计算表!$X65*0.15*0.8*0.08*'18年合同登记表'!AH63/'18年合同登记表'!$M63</f>
        <v>0</v>
      </c>
      <c r="AJ63" s="122">
        <f>客服部最终提成计算表!$X65*0.15*0.8*0.05*'18年合同登记表'!AH63/'18年合同登记表'!$M63</f>
        <v>0</v>
      </c>
      <c r="AK63" s="122">
        <f>客服部最终提成计算表!$X65*0.15*0.8*0.02*'18年合同登记表'!AH63/'18年合同登记表'!$M63</f>
        <v>0</v>
      </c>
      <c r="AL63" s="122">
        <f>客服部最终提成计算表!$X65*0.15*0.8*0.85*'18年合同登记表'!AJ63/'18年合同登记表'!$M63</f>
        <v>0</v>
      </c>
      <c r="AM63" s="122">
        <f>客服部最终提成计算表!$X65*0.15*0.8*0.08*'18年合同登记表'!AJ63/'18年合同登记表'!$M63</f>
        <v>0</v>
      </c>
      <c r="AN63" s="122">
        <f>客服部最终提成计算表!$X65*0.15*0.8*0.05*'18年合同登记表'!AJ63/'18年合同登记表'!$M63</f>
        <v>0</v>
      </c>
      <c r="AO63" s="122">
        <f>客服部最终提成计算表!$X65*0.15*0.8*0.02*'18年合同登记表'!AJ63/'18年合同登记表'!$M63</f>
        <v>0</v>
      </c>
      <c r="AP63" s="122">
        <f>客服部最终提成计算表!$X65*0.15*0.8*0.85*'18年合同登记表'!AL63/'18年合同登记表'!$M63</f>
        <v>0</v>
      </c>
      <c r="AQ63" s="122">
        <f>客服部最终提成计算表!$X65*0.15*0.8*0.08*'18年合同登记表'!AL63/'18年合同登记表'!$M63</f>
        <v>0</v>
      </c>
      <c r="AR63" s="122">
        <f>客服部最终提成计算表!$X65*0.15*0.8*0.05*'18年合同登记表'!AL63/'18年合同登记表'!$M63</f>
        <v>0</v>
      </c>
      <c r="AS63" s="122">
        <f>客服部最终提成计算表!$X65*0.15*0.8*0.02*'18年合同登记表'!AL63/'18年合同登记表'!$M63</f>
        <v>0</v>
      </c>
      <c r="AT63" s="122">
        <f>客服部最终提成计算表!$X65*0.15*0.8*0.85*'18年合同登记表'!AN63/'18年合同登记表'!$M63</f>
        <v>11551.1481</v>
      </c>
      <c r="AU63" s="122">
        <f>客服部最终提成计算表!$X65*0.15*0.8*0.08*'18年合同登记表'!AN63/'18年合同登记表'!$M63</f>
        <v>1087.16688</v>
      </c>
      <c r="AV63" s="122">
        <f>客服部最终提成计算表!$X65*0.15*0.8*0.05*'18年合同登记表'!AN63/'18年合同登记表'!$M63</f>
        <v>679.4793</v>
      </c>
      <c r="AW63" s="122">
        <f>客服部最终提成计算表!$X65*0.15*0.8*0.02*'18年合同登记表'!AN63/'18年合同登记表'!$M63</f>
        <v>271.79172</v>
      </c>
      <c r="AX63" s="122">
        <f>客服部最终提成计算表!$X65*0.15*0.8*0.85*'18年合同登记表'!AP63/'18年合同登记表'!$M63</f>
        <v>0</v>
      </c>
      <c r="AY63" s="122">
        <f>客服部最终提成计算表!$X65*0.15*0.8*0.08*'18年合同登记表'!AP63/'18年合同登记表'!$M63</f>
        <v>0</v>
      </c>
      <c r="AZ63" s="122">
        <f>客服部最终提成计算表!$X65*0.15*0.8*0.05*'18年合同登记表'!AP63/'18年合同登记表'!$M63</f>
        <v>0</v>
      </c>
      <c r="BA63" s="131">
        <f>客服部最终提成计算表!$X65*0.15*0.8*0.02*'18年合同登记表'!AP63/'18年合同登记表'!$M63</f>
        <v>0</v>
      </c>
    </row>
    <row r="64" s="104" customFormat="1" ht="14.25" spans="1:53">
      <c r="A64" s="117"/>
      <c r="B64" s="118" t="str">
        <f>'18年合同登记表'!F64</f>
        <v>中牧实业</v>
      </c>
      <c r="C64" s="119" t="str">
        <f>'18年合同登记表'!H64</f>
        <v>NHY-20180312-L-01-01-030</v>
      </c>
      <c r="D64" s="119" t="str">
        <f>'18年合同登记表'!I64</f>
        <v>空调维保托管协议</v>
      </c>
      <c r="E64" s="120" t="str">
        <f>'18年合同登记表'!L64</f>
        <v>陈勇</v>
      </c>
      <c r="F64" s="121">
        <f>客服部最终提成计算表!$X66*0.15*0.8*0.85*'18年合同登记表'!T64/'18年合同登记表'!$M64</f>
        <v>0</v>
      </c>
      <c r="G64" s="122">
        <f>客服部最终提成计算表!$X66*0.15*0.8*0.08*'18年合同登记表'!T64/'18年合同登记表'!$M64</f>
        <v>0</v>
      </c>
      <c r="H64" s="122">
        <f>客服部最终提成计算表!$X66*0.15*0.8*0.05*'18年合同登记表'!T64/'18年合同登记表'!$M64</f>
        <v>0</v>
      </c>
      <c r="I64" s="122">
        <f>客服部最终提成计算表!$X66*0.15*0.8*0.02*'18年合同登记表'!T64/'18年合同登记表'!$M64</f>
        <v>0</v>
      </c>
      <c r="J64" s="122">
        <f>客服部最终提成计算表!$X66*0.15*0.8*0.85*'18年合同登记表'!V64/'18年合同登记表'!$M64</f>
        <v>0</v>
      </c>
      <c r="K64" s="122">
        <f>客服部最终提成计算表!$X66*0.15*0.8*0.08*'18年合同登记表'!V64/'18年合同登记表'!$M64</f>
        <v>0</v>
      </c>
      <c r="L64" s="122">
        <f>客服部最终提成计算表!$X66*0.15*0.8*0.05*'18年合同登记表'!V64/'18年合同登记表'!$M64</f>
        <v>0</v>
      </c>
      <c r="M64" s="122">
        <f>客服部最终提成计算表!$X66*0.15*0.8*0.02*'18年合同登记表'!V64/'18年合同登记表'!$M64</f>
        <v>0</v>
      </c>
      <c r="N64" s="122">
        <f>客服部最终提成计算表!$X66*0.15*0.8*0.85*'18年合同登记表'!X64/'18年合同登记表'!$M64</f>
        <v>0</v>
      </c>
      <c r="O64" s="122">
        <f>客服部最终提成计算表!$X66*0.15*0.8*0.08*'18年合同登记表'!X64/'18年合同登记表'!$M64</f>
        <v>0</v>
      </c>
      <c r="P64" s="122">
        <f>客服部最终提成计算表!$X66*0.15*0.8*0.05*'18年合同登记表'!X64/'18年合同登记表'!$M64</f>
        <v>0</v>
      </c>
      <c r="Q64" s="122">
        <f>客服部最终提成计算表!$X66*0.15*0.8*0.02*'18年合同登记表'!X64/'18年合同登记表'!$M64</f>
        <v>0</v>
      </c>
      <c r="R64" s="122">
        <f>客服部最终提成计算表!$X66*0.15*0.8*0.85*'18年合同登记表'!Z64/'18年合同登记表'!$M64</f>
        <v>0</v>
      </c>
      <c r="S64" s="122">
        <f>客服部最终提成计算表!$X66*0.15*0.8*0.08*'18年合同登记表'!Z64/'18年合同登记表'!$M64</f>
        <v>0</v>
      </c>
      <c r="T64" s="122">
        <f>客服部最终提成计算表!$X66*0.15*0.8*0.05*'18年合同登记表'!Z64/'18年合同登记表'!$M64</f>
        <v>0</v>
      </c>
      <c r="U64" s="122">
        <f>客服部最终提成计算表!$X66*0.15*0.8*0.02*'18年合同登记表'!Z64/'18年合同登记表'!$M64</f>
        <v>0</v>
      </c>
      <c r="V64" s="122">
        <f>客服部最终提成计算表!$X66*0.15*0.8*0.85*'18年合同登记表'!AB64/'18年合同登记表'!$M64</f>
        <v>0</v>
      </c>
      <c r="W64" s="122">
        <f>客服部最终提成计算表!$X66*0.15*0.8*0.08*'18年合同登记表'!AB64/'18年合同登记表'!$M64</f>
        <v>0</v>
      </c>
      <c r="X64" s="122">
        <f>客服部最终提成计算表!$X66*0.15*0.8*0.05*'18年合同登记表'!AB64/'18年合同登记表'!$M64</f>
        <v>0</v>
      </c>
      <c r="Y64" s="122">
        <f>客服部最终提成计算表!$X66*0.15*0.8*0.02*'18年合同登记表'!AB64/'18年合同登记表'!$M64</f>
        <v>0</v>
      </c>
      <c r="Z64" s="122">
        <f>客服部最终提成计算表!$X66*0.15*0.8*0.85*'18年合同登记表'!AD64/'18年合同登记表'!$M64</f>
        <v>0</v>
      </c>
      <c r="AA64" s="122">
        <f>客服部最终提成计算表!$X66*0.15*0.8*0.08*'18年合同登记表'!AD64/'18年合同登记表'!$M64</f>
        <v>0</v>
      </c>
      <c r="AB64" s="122">
        <f>客服部最终提成计算表!$X66*0.15*0.8*0.05*'18年合同登记表'!AD64/'18年合同登记表'!$M64</f>
        <v>0</v>
      </c>
      <c r="AC64" s="122">
        <f>客服部最终提成计算表!$X66*0.15*0.8*0.02*'18年合同登记表'!AD64/'18年合同登记表'!$M64</f>
        <v>0</v>
      </c>
      <c r="AD64" s="122">
        <f>客服部最终提成计算表!$X66*0.15*0.8*0.85*'18年合同登记表'!AF64/'18年合同登记表'!$M64</f>
        <v>0</v>
      </c>
      <c r="AE64" s="122">
        <f>客服部最终提成计算表!$X66*0.15*0.8*0.08*'18年合同登记表'!AF64/'18年合同登记表'!$M64</f>
        <v>0</v>
      </c>
      <c r="AF64" s="122">
        <f>客服部最终提成计算表!$X66*0.15*0.8*0.05*'18年合同登记表'!AF64/'18年合同登记表'!$M64</f>
        <v>0</v>
      </c>
      <c r="AG64" s="122">
        <f>客服部最终提成计算表!$X66*0.15*0.8*0.02*'18年合同登记表'!AF64/'18年合同登记表'!$M64</f>
        <v>0</v>
      </c>
      <c r="AH64" s="122">
        <f>客服部最终提成计算表!$X66*0.15*0.8*0.85*'18年合同登记表'!AH64/'18年合同登记表'!$M64</f>
        <v>4535.634</v>
      </c>
      <c r="AI64" s="122">
        <f>客服部最终提成计算表!$X66*0.15*0.8*0.08*'18年合同登记表'!AH64/'18年合同登记表'!$M64</f>
        <v>426.8832</v>
      </c>
      <c r="AJ64" s="122">
        <f>客服部最终提成计算表!$X66*0.15*0.8*0.05*'18年合同登记表'!AH64/'18年合同登记表'!$M64</f>
        <v>266.802</v>
      </c>
      <c r="AK64" s="122">
        <f>客服部最终提成计算表!$X66*0.15*0.8*0.02*'18年合同登记表'!AH64/'18年合同登记表'!$M64</f>
        <v>106.7208</v>
      </c>
      <c r="AL64" s="122">
        <f>客服部最终提成计算表!$X66*0.15*0.8*0.85*'18年合同登记表'!AJ64/'18年合同登记表'!$M64</f>
        <v>0</v>
      </c>
      <c r="AM64" s="122">
        <f>客服部最终提成计算表!$X66*0.15*0.8*0.08*'18年合同登记表'!AJ64/'18年合同登记表'!$M64</f>
        <v>0</v>
      </c>
      <c r="AN64" s="122">
        <f>客服部最终提成计算表!$X66*0.15*0.8*0.05*'18年合同登记表'!AJ64/'18年合同登记表'!$M64</f>
        <v>0</v>
      </c>
      <c r="AO64" s="122">
        <f>客服部最终提成计算表!$X66*0.15*0.8*0.02*'18年合同登记表'!AJ64/'18年合同登记表'!$M64</f>
        <v>0</v>
      </c>
      <c r="AP64" s="122">
        <f>客服部最终提成计算表!$X66*0.15*0.8*0.85*'18年合同登记表'!AL64/'18年合同登记表'!$M64</f>
        <v>0</v>
      </c>
      <c r="AQ64" s="122">
        <f>客服部最终提成计算表!$X66*0.15*0.8*0.08*'18年合同登记表'!AL64/'18年合同登记表'!$M64</f>
        <v>0</v>
      </c>
      <c r="AR64" s="122">
        <f>客服部最终提成计算表!$X66*0.15*0.8*0.05*'18年合同登记表'!AL64/'18年合同登记表'!$M64</f>
        <v>0</v>
      </c>
      <c r="AS64" s="122">
        <f>客服部最终提成计算表!$X66*0.15*0.8*0.02*'18年合同登记表'!AL64/'18年合同登记表'!$M64</f>
        <v>0</v>
      </c>
      <c r="AT64" s="122">
        <f>客服部最终提成计算表!$X66*0.15*0.8*0.85*'18年合同登记表'!AN64/'18年合同登记表'!$M64</f>
        <v>0</v>
      </c>
      <c r="AU64" s="122">
        <f>客服部最终提成计算表!$X66*0.15*0.8*0.08*'18年合同登记表'!AN64/'18年合同登记表'!$M64</f>
        <v>0</v>
      </c>
      <c r="AV64" s="122">
        <f>客服部最终提成计算表!$X66*0.15*0.8*0.05*'18年合同登记表'!AN64/'18年合同登记表'!$M64</f>
        <v>0</v>
      </c>
      <c r="AW64" s="122">
        <f>客服部最终提成计算表!$X66*0.15*0.8*0.02*'18年合同登记表'!AN64/'18年合同登记表'!$M64</f>
        <v>0</v>
      </c>
      <c r="AX64" s="122">
        <f>客服部最终提成计算表!$X66*0.15*0.8*0.85*'18年合同登记表'!AP64/'18年合同登记表'!$M64</f>
        <v>0</v>
      </c>
      <c r="AY64" s="122">
        <f>客服部最终提成计算表!$X66*0.15*0.8*0.08*'18年合同登记表'!AP64/'18年合同登记表'!$M64</f>
        <v>0</v>
      </c>
      <c r="AZ64" s="122">
        <f>客服部最终提成计算表!$X66*0.15*0.8*0.05*'18年合同登记表'!AP64/'18年合同登记表'!$M64</f>
        <v>0</v>
      </c>
      <c r="BA64" s="131">
        <f>客服部最终提成计算表!$X66*0.15*0.8*0.02*'18年合同登记表'!AP64/'18年合同登记表'!$M64</f>
        <v>0</v>
      </c>
    </row>
    <row r="65" s="104" customFormat="1" ht="14.25" spans="1:53">
      <c r="A65" s="117"/>
      <c r="B65" s="118" t="str">
        <f>'18年合同登记表'!F65</f>
        <v>和乔丽晶</v>
      </c>
      <c r="C65" s="119" t="str">
        <f>'18年合同登记表'!H65</f>
        <v>NHY-20180402-L-01-02-030</v>
      </c>
      <c r="D65" s="119" t="str">
        <f>'18年合同登记表'!I65</f>
        <v>直燃机年度维保合同</v>
      </c>
      <c r="E65" s="120" t="str">
        <f>'18年合同登记表'!L65</f>
        <v>陈勇</v>
      </c>
      <c r="F65" s="121">
        <f>客服部最终提成计算表!$X67*0.15*0.8*0.85*'18年合同登记表'!T65/'18年合同登记表'!$M65</f>
        <v>0</v>
      </c>
      <c r="G65" s="122">
        <f>客服部最终提成计算表!$X67*0.15*0.8*0.08*'18年合同登记表'!T65/'18年合同登记表'!$M65</f>
        <v>0</v>
      </c>
      <c r="H65" s="122">
        <f>客服部最终提成计算表!$X67*0.15*0.8*0.05*'18年合同登记表'!T65/'18年合同登记表'!$M65</f>
        <v>0</v>
      </c>
      <c r="I65" s="122">
        <f>客服部最终提成计算表!$X67*0.15*0.8*0.02*'18年合同登记表'!T65/'18年合同登记表'!$M65</f>
        <v>0</v>
      </c>
      <c r="J65" s="122">
        <f>客服部最终提成计算表!$X67*0.15*0.8*0.85*'18年合同登记表'!V65/'18年合同登记表'!$M65</f>
        <v>0</v>
      </c>
      <c r="K65" s="122">
        <f>客服部最终提成计算表!$X67*0.15*0.8*0.08*'18年合同登记表'!V65/'18年合同登记表'!$M65</f>
        <v>0</v>
      </c>
      <c r="L65" s="122">
        <f>客服部最终提成计算表!$X67*0.15*0.8*0.05*'18年合同登记表'!V65/'18年合同登记表'!$M65</f>
        <v>0</v>
      </c>
      <c r="M65" s="122">
        <f>客服部最终提成计算表!$X67*0.15*0.8*0.02*'18年合同登记表'!V65/'18年合同登记表'!$M65</f>
        <v>0</v>
      </c>
      <c r="N65" s="122">
        <f>客服部最终提成计算表!$X67*0.15*0.8*0.85*'18年合同登记表'!X65/'18年合同登记表'!$M65</f>
        <v>0</v>
      </c>
      <c r="O65" s="122">
        <f>客服部最终提成计算表!$X67*0.15*0.8*0.08*'18年合同登记表'!X65/'18年合同登记表'!$M65</f>
        <v>0</v>
      </c>
      <c r="P65" s="122">
        <f>客服部最终提成计算表!$X67*0.15*0.8*0.05*'18年合同登记表'!X65/'18年合同登记表'!$M65</f>
        <v>0</v>
      </c>
      <c r="Q65" s="122">
        <f>客服部最终提成计算表!$X67*0.15*0.8*0.02*'18年合同登记表'!X65/'18年合同登记表'!$M65</f>
        <v>0</v>
      </c>
      <c r="R65" s="122">
        <f>客服部最终提成计算表!$X67*0.15*0.8*0.85*'18年合同登记表'!Z65/'18年合同登记表'!$M65</f>
        <v>0</v>
      </c>
      <c r="S65" s="122">
        <f>客服部最终提成计算表!$X67*0.15*0.8*0.08*'18年合同登记表'!Z65/'18年合同登记表'!$M65</f>
        <v>0</v>
      </c>
      <c r="T65" s="122">
        <f>客服部最终提成计算表!$X67*0.15*0.8*0.05*'18年合同登记表'!Z65/'18年合同登记表'!$M65</f>
        <v>0</v>
      </c>
      <c r="U65" s="122">
        <f>客服部最终提成计算表!$X67*0.15*0.8*0.02*'18年合同登记表'!Z65/'18年合同登记表'!$M65</f>
        <v>0</v>
      </c>
      <c r="V65" s="122">
        <f>客服部最终提成计算表!$X67*0.15*0.8*0.85*'18年合同登记表'!AB65/'18年合同登记表'!$M65</f>
        <v>1632</v>
      </c>
      <c r="W65" s="122">
        <f>客服部最终提成计算表!$X67*0.15*0.8*0.08*'18年合同登记表'!AB65/'18年合同登记表'!$M65</f>
        <v>153.6</v>
      </c>
      <c r="X65" s="122">
        <f>客服部最终提成计算表!$X67*0.15*0.8*0.05*'18年合同登记表'!AB65/'18年合同登记表'!$M65</f>
        <v>96</v>
      </c>
      <c r="Y65" s="122">
        <f>客服部最终提成计算表!$X67*0.15*0.8*0.02*'18年合同登记表'!AB65/'18年合同登记表'!$M65</f>
        <v>38.4</v>
      </c>
      <c r="Z65" s="122">
        <f>客服部最终提成计算表!$X67*0.15*0.8*0.85*'18年合同登记表'!AD65/'18年合同登记表'!$M65</f>
        <v>0</v>
      </c>
      <c r="AA65" s="122">
        <f>客服部最终提成计算表!$X67*0.15*0.8*0.08*'18年合同登记表'!AD65/'18年合同登记表'!$M65</f>
        <v>0</v>
      </c>
      <c r="AB65" s="122">
        <f>客服部最终提成计算表!$X67*0.15*0.8*0.05*'18年合同登记表'!AD65/'18年合同登记表'!$M65</f>
        <v>0</v>
      </c>
      <c r="AC65" s="122">
        <f>客服部最终提成计算表!$X67*0.15*0.8*0.02*'18年合同登记表'!AD65/'18年合同登记表'!$M65</f>
        <v>0</v>
      </c>
      <c r="AD65" s="122">
        <f>客服部最终提成计算表!$X67*0.15*0.8*0.85*'18年合同登记表'!AF65/'18年合同登记表'!$M65</f>
        <v>0</v>
      </c>
      <c r="AE65" s="122">
        <f>客服部最终提成计算表!$X67*0.15*0.8*0.08*'18年合同登记表'!AF65/'18年合同登记表'!$M65</f>
        <v>0</v>
      </c>
      <c r="AF65" s="122">
        <f>客服部最终提成计算表!$X67*0.15*0.8*0.05*'18年合同登记表'!AF65/'18年合同登记表'!$M65</f>
        <v>0</v>
      </c>
      <c r="AG65" s="122">
        <f>客服部最终提成计算表!$X67*0.15*0.8*0.02*'18年合同登记表'!AF65/'18年合同登记表'!$M65</f>
        <v>0</v>
      </c>
      <c r="AH65" s="122">
        <f>客服部最终提成计算表!$X67*0.15*0.8*0.85*'18年合同登记表'!AH65/'18年合同登记表'!$M65</f>
        <v>0</v>
      </c>
      <c r="AI65" s="122">
        <f>客服部最终提成计算表!$X67*0.15*0.8*0.08*'18年合同登记表'!AH65/'18年合同登记表'!$M65</f>
        <v>0</v>
      </c>
      <c r="AJ65" s="122">
        <f>客服部最终提成计算表!$X67*0.15*0.8*0.05*'18年合同登记表'!AH65/'18年合同登记表'!$M65</f>
        <v>0</v>
      </c>
      <c r="AK65" s="122">
        <f>客服部最终提成计算表!$X67*0.15*0.8*0.02*'18年合同登记表'!AH65/'18年合同登记表'!$M65</f>
        <v>0</v>
      </c>
      <c r="AL65" s="122">
        <f>客服部最终提成计算表!$X67*0.15*0.8*0.85*'18年合同登记表'!AJ65/'18年合同登记表'!$M65</f>
        <v>0</v>
      </c>
      <c r="AM65" s="122">
        <f>客服部最终提成计算表!$X67*0.15*0.8*0.08*'18年合同登记表'!AJ65/'18年合同登记表'!$M65</f>
        <v>0</v>
      </c>
      <c r="AN65" s="122">
        <f>客服部最终提成计算表!$X67*0.15*0.8*0.05*'18年合同登记表'!AJ65/'18年合同登记表'!$M65</f>
        <v>0</v>
      </c>
      <c r="AO65" s="122">
        <f>客服部最终提成计算表!$X67*0.15*0.8*0.02*'18年合同登记表'!AJ65/'18年合同登记表'!$M65</f>
        <v>0</v>
      </c>
      <c r="AP65" s="122">
        <f>客服部最终提成计算表!$X67*0.15*0.8*0.85*'18年合同登记表'!AL65/'18年合同登记表'!$M65</f>
        <v>0</v>
      </c>
      <c r="AQ65" s="122">
        <f>客服部最终提成计算表!$X67*0.15*0.8*0.08*'18年合同登记表'!AL65/'18年合同登记表'!$M65</f>
        <v>0</v>
      </c>
      <c r="AR65" s="122">
        <f>客服部最终提成计算表!$X67*0.15*0.8*0.05*'18年合同登记表'!AL65/'18年合同登记表'!$M65</f>
        <v>0</v>
      </c>
      <c r="AS65" s="122">
        <f>客服部最终提成计算表!$X67*0.15*0.8*0.02*'18年合同登记表'!AL65/'18年合同登记表'!$M65</f>
        <v>0</v>
      </c>
      <c r="AT65" s="122">
        <f>客服部最终提成计算表!$X67*0.15*0.8*0.85*'18年合同登记表'!AN65/'18年合同登记表'!$M65</f>
        <v>0</v>
      </c>
      <c r="AU65" s="122">
        <f>客服部最终提成计算表!$X67*0.15*0.8*0.08*'18年合同登记表'!AN65/'18年合同登记表'!$M65</f>
        <v>0</v>
      </c>
      <c r="AV65" s="122">
        <f>客服部最终提成计算表!$X67*0.15*0.8*0.05*'18年合同登记表'!AN65/'18年合同登记表'!$M65</f>
        <v>0</v>
      </c>
      <c r="AW65" s="122">
        <f>客服部最终提成计算表!$X67*0.15*0.8*0.02*'18年合同登记表'!AN65/'18年合同登记表'!$M65</f>
        <v>0</v>
      </c>
      <c r="AX65" s="122">
        <f>客服部最终提成计算表!$X67*0.15*0.8*0.85*'18年合同登记表'!AP65/'18年合同登记表'!$M65</f>
        <v>0</v>
      </c>
      <c r="AY65" s="122">
        <f>客服部最终提成计算表!$X67*0.15*0.8*0.08*'18年合同登记表'!AP65/'18年合同登记表'!$M65</f>
        <v>0</v>
      </c>
      <c r="AZ65" s="122">
        <f>客服部最终提成计算表!$X67*0.15*0.8*0.05*'18年合同登记表'!AP65/'18年合同登记表'!$M65</f>
        <v>0</v>
      </c>
      <c r="BA65" s="131">
        <f>客服部最终提成计算表!$X67*0.15*0.8*0.02*'18年合同登记表'!AP65/'18年合同登记表'!$M65</f>
        <v>0</v>
      </c>
    </row>
    <row r="66" s="104" customFormat="1" ht="14.25" spans="1:53">
      <c r="A66" s="117"/>
      <c r="B66" s="118" t="str">
        <f>'18年合同登记表'!F66</f>
        <v>文化都汇</v>
      </c>
      <c r="C66" s="119" t="str">
        <f>'18年合同登记表'!H66</f>
        <v>NHY-20180426-W-01-01-056</v>
      </c>
      <c r="D66" s="119" t="str">
        <f>'18年合同登记表'!I66</f>
        <v>制冷机年度维保</v>
      </c>
      <c r="E66" s="120" t="str">
        <f>'18年合同登记表'!L66</f>
        <v>卢强</v>
      </c>
      <c r="F66" s="121">
        <f>客服部最终提成计算表!$X68*0.15*0.8*0.85*'18年合同登记表'!T66/'18年合同登记表'!$M66</f>
        <v>0</v>
      </c>
      <c r="G66" s="122">
        <f>客服部最终提成计算表!$X68*0.15*0.8*0.08*'18年合同登记表'!T66/'18年合同登记表'!$M66</f>
        <v>0</v>
      </c>
      <c r="H66" s="122">
        <f>客服部最终提成计算表!$X68*0.15*0.8*0.05*'18年合同登记表'!T66/'18年合同登记表'!$M66</f>
        <v>0</v>
      </c>
      <c r="I66" s="122">
        <f>客服部最终提成计算表!$X68*0.15*0.8*0.02*'18年合同登记表'!T66/'18年合同登记表'!$M66</f>
        <v>0</v>
      </c>
      <c r="J66" s="122">
        <f>客服部最终提成计算表!$X68*0.15*0.8*0.85*'18年合同登记表'!V66/'18年合同登记表'!$M66</f>
        <v>0</v>
      </c>
      <c r="K66" s="122">
        <f>客服部最终提成计算表!$X68*0.15*0.8*0.08*'18年合同登记表'!V66/'18年合同登记表'!$M66</f>
        <v>0</v>
      </c>
      <c r="L66" s="122">
        <f>客服部最终提成计算表!$X68*0.15*0.8*0.05*'18年合同登记表'!V66/'18年合同登记表'!$M66</f>
        <v>0</v>
      </c>
      <c r="M66" s="122">
        <f>客服部最终提成计算表!$X68*0.15*0.8*0.02*'18年合同登记表'!V66/'18年合同登记表'!$M66</f>
        <v>0</v>
      </c>
      <c r="N66" s="122">
        <f>客服部最终提成计算表!$X68*0.15*0.8*0.85*'18年合同登记表'!X66/'18年合同登记表'!$M66</f>
        <v>0</v>
      </c>
      <c r="O66" s="122">
        <f>客服部最终提成计算表!$X68*0.15*0.8*0.08*'18年合同登记表'!X66/'18年合同登记表'!$M66</f>
        <v>0</v>
      </c>
      <c r="P66" s="122">
        <f>客服部最终提成计算表!$X68*0.15*0.8*0.05*'18年合同登记表'!X66/'18年合同登记表'!$M66</f>
        <v>0</v>
      </c>
      <c r="Q66" s="122">
        <f>客服部最终提成计算表!$X68*0.15*0.8*0.02*'18年合同登记表'!X66/'18年合同登记表'!$M66</f>
        <v>0</v>
      </c>
      <c r="R66" s="122">
        <f>客服部最终提成计算表!$X68*0.15*0.8*0.85*'18年合同登记表'!Z66/'18年合同登记表'!$M66</f>
        <v>0</v>
      </c>
      <c r="S66" s="122">
        <f>客服部最终提成计算表!$X68*0.15*0.8*0.08*'18年合同登记表'!Z66/'18年合同登记表'!$M66</f>
        <v>0</v>
      </c>
      <c r="T66" s="122">
        <f>客服部最终提成计算表!$X68*0.15*0.8*0.05*'18年合同登记表'!Z66/'18年合同登记表'!$M66</f>
        <v>0</v>
      </c>
      <c r="U66" s="122">
        <f>客服部最终提成计算表!$X68*0.15*0.8*0.02*'18年合同登记表'!Z66/'18年合同登记表'!$M66</f>
        <v>0</v>
      </c>
      <c r="V66" s="122">
        <f>客服部最终提成计算表!$X68*0.15*0.8*0.85*'18年合同登记表'!AB66/'18年合同登记表'!$M66</f>
        <v>0</v>
      </c>
      <c r="W66" s="122">
        <f>客服部最终提成计算表!$X68*0.15*0.8*0.08*'18年合同登记表'!AB66/'18年合同登记表'!$M66</f>
        <v>0</v>
      </c>
      <c r="X66" s="122">
        <f>客服部最终提成计算表!$X68*0.15*0.8*0.05*'18年合同登记表'!AB66/'18年合同登记表'!$M66</f>
        <v>0</v>
      </c>
      <c r="Y66" s="122">
        <f>客服部最终提成计算表!$X68*0.15*0.8*0.02*'18年合同登记表'!AB66/'18年合同登记表'!$M66</f>
        <v>0</v>
      </c>
      <c r="Z66" s="122">
        <f>客服部最终提成计算表!$X68*0.15*0.8*0.85*'18年合同登记表'!AD66/'18年合同登记表'!$M66</f>
        <v>3213</v>
      </c>
      <c r="AA66" s="122">
        <f>客服部最终提成计算表!$X68*0.15*0.8*0.08*'18年合同登记表'!AD66/'18年合同登记表'!$M66</f>
        <v>302.4</v>
      </c>
      <c r="AB66" s="122">
        <f>客服部最终提成计算表!$X68*0.15*0.8*0.05*'18年合同登记表'!AD66/'18年合同登记表'!$M66</f>
        <v>189</v>
      </c>
      <c r="AC66" s="122">
        <f>客服部最终提成计算表!$X68*0.15*0.8*0.02*'18年合同登记表'!AD66/'18年合同登记表'!$M66</f>
        <v>75.6</v>
      </c>
      <c r="AD66" s="122">
        <f>客服部最终提成计算表!$X68*0.15*0.8*0.85*'18年合同登记表'!AF66/'18年合同登记表'!$M66</f>
        <v>0</v>
      </c>
      <c r="AE66" s="122">
        <f>客服部最终提成计算表!$X68*0.15*0.8*0.08*'18年合同登记表'!AF66/'18年合同登记表'!$M66</f>
        <v>0</v>
      </c>
      <c r="AF66" s="122">
        <f>客服部最终提成计算表!$X68*0.15*0.8*0.05*'18年合同登记表'!AF66/'18年合同登记表'!$M66</f>
        <v>0</v>
      </c>
      <c r="AG66" s="122">
        <f>客服部最终提成计算表!$X68*0.15*0.8*0.02*'18年合同登记表'!AF66/'18年合同登记表'!$M66</f>
        <v>0</v>
      </c>
      <c r="AH66" s="122">
        <f>客服部最终提成计算表!$X68*0.15*0.8*0.85*'18年合同登记表'!AH66/'18年合同登记表'!$M66</f>
        <v>0</v>
      </c>
      <c r="AI66" s="122">
        <f>客服部最终提成计算表!$X68*0.15*0.8*0.08*'18年合同登记表'!AH66/'18年合同登记表'!$M66</f>
        <v>0</v>
      </c>
      <c r="AJ66" s="122">
        <f>客服部最终提成计算表!$X68*0.15*0.8*0.05*'18年合同登记表'!AH66/'18年合同登记表'!$M66</f>
        <v>0</v>
      </c>
      <c r="AK66" s="122">
        <f>客服部最终提成计算表!$X68*0.15*0.8*0.02*'18年合同登记表'!AH66/'18年合同登记表'!$M66</f>
        <v>0</v>
      </c>
      <c r="AL66" s="122">
        <f>客服部最终提成计算表!$X68*0.15*0.8*0.85*'18年合同登记表'!AJ66/'18年合同登记表'!$M66</f>
        <v>0</v>
      </c>
      <c r="AM66" s="122">
        <f>客服部最终提成计算表!$X68*0.15*0.8*0.08*'18年合同登记表'!AJ66/'18年合同登记表'!$M66</f>
        <v>0</v>
      </c>
      <c r="AN66" s="122">
        <f>客服部最终提成计算表!$X68*0.15*0.8*0.05*'18年合同登记表'!AJ66/'18年合同登记表'!$M66</f>
        <v>0</v>
      </c>
      <c r="AO66" s="122">
        <f>客服部最终提成计算表!$X68*0.15*0.8*0.02*'18年合同登记表'!AJ66/'18年合同登记表'!$M66</f>
        <v>0</v>
      </c>
      <c r="AP66" s="122">
        <f>客服部最终提成计算表!$X68*0.15*0.8*0.85*'18年合同登记表'!AL66/'18年合同登记表'!$M66</f>
        <v>0</v>
      </c>
      <c r="AQ66" s="122">
        <f>客服部最终提成计算表!$X68*0.15*0.8*0.08*'18年合同登记表'!AL66/'18年合同登记表'!$M66</f>
        <v>0</v>
      </c>
      <c r="AR66" s="122">
        <f>客服部最终提成计算表!$X68*0.15*0.8*0.05*'18年合同登记表'!AL66/'18年合同登记表'!$M66</f>
        <v>0</v>
      </c>
      <c r="AS66" s="122">
        <f>客服部最终提成计算表!$X68*0.15*0.8*0.02*'18年合同登记表'!AL66/'18年合同登记表'!$M66</f>
        <v>0</v>
      </c>
      <c r="AT66" s="122">
        <f>客服部最终提成计算表!$X68*0.15*0.8*0.85*'18年合同登记表'!AN66/'18年合同登记表'!$M66</f>
        <v>0</v>
      </c>
      <c r="AU66" s="122">
        <f>客服部最终提成计算表!$X68*0.15*0.8*0.08*'18年合同登记表'!AN66/'18年合同登记表'!$M66</f>
        <v>0</v>
      </c>
      <c r="AV66" s="122">
        <f>客服部最终提成计算表!$X68*0.15*0.8*0.05*'18年合同登记表'!AN66/'18年合同登记表'!$M66</f>
        <v>0</v>
      </c>
      <c r="AW66" s="122">
        <f>客服部最终提成计算表!$X68*0.15*0.8*0.02*'18年合同登记表'!AN66/'18年合同登记表'!$M66</f>
        <v>0</v>
      </c>
      <c r="AX66" s="122">
        <f>客服部最终提成计算表!$X68*0.15*0.8*0.85*'18年合同登记表'!AP66/'18年合同登记表'!$M66</f>
        <v>0</v>
      </c>
      <c r="AY66" s="122">
        <f>客服部最终提成计算表!$X68*0.15*0.8*0.08*'18年合同登记表'!AP66/'18年合同登记表'!$M66</f>
        <v>0</v>
      </c>
      <c r="AZ66" s="122">
        <f>客服部最终提成计算表!$X68*0.15*0.8*0.05*'18年合同登记表'!AP66/'18年合同登记表'!$M66</f>
        <v>0</v>
      </c>
      <c r="BA66" s="131">
        <f>客服部最终提成计算表!$X68*0.15*0.8*0.02*'18年合同登记表'!AP66/'18年合同登记表'!$M66</f>
        <v>0</v>
      </c>
    </row>
    <row r="67" s="104" customFormat="1" ht="14.25" spans="1:53">
      <c r="A67" s="117"/>
      <c r="B67" s="118" t="str">
        <f>'18年合同登记表'!F67</f>
        <v>京东方</v>
      </c>
      <c r="C67" s="119" t="str">
        <f>'18年合同登记表'!H67</f>
        <v>NHY-20180328-L-01-01-030</v>
      </c>
      <c r="D67" s="119" t="str">
        <f>'18年合同登记表'!I67</f>
        <v>溴化锂制冷机维保合同</v>
      </c>
      <c r="E67" s="120" t="str">
        <f>'18年合同登记表'!L67</f>
        <v>陈勇</v>
      </c>
      <c r="F67" s="121">
        <f>客服部最终提成计算表!$X69*0.15*0.8*0.85*'18年合同登记表'!T67/'18年合同登记表'!$M67</f>
        <v>0</v>
      </c>
      <c r="G67" s="122">
        <f>客服部最终提成计算表!$X69*0.15*0.8*0.08*'18年合同登记表'!T67/'18年合同登记表'!$M67</f>
        <v>0</v>
      </c>
      <c r="H67" s="122">
        <f>客服部最终提成计算表!$X69*0.15*0.8*0.05*'18年合同登记表'!T67/'18年合同登记表'!$M67</f>
        <v>0</v>
      </c>
      <c r="I67" s="122">
        <f>客服部最终提成计算表!$X69*0.15*0.8*0.02*'18年合同登记表'!T67/'18年合同登记表'!$M67</f>
        <v>0</v>
      </c>
      <c r="J67" s="122">
        <f>客服部最终提成计算表!$X69*0.15*0.8*0.85*'18年合同登记表'!V67/'18年合同登记表'!$M67</f>
        <v>0</v>
      </c>
      <c r="K67" s="122">
        <f>客服部最终提成计算表!$X69*0.15*0.8*0.08*'18年合同登记表'!V67/'18年合同登记表'!$M67</f>
        <v>0</v>
      </c>
      <c r="L67" s="122">
        <f>客服部最终提成计算表!$X69*0.15*0.8*0.05*'18年合同登记表'!V67/'18年合同登记表'!$M67</f>
        <v>0</v>
      </c>
      <c r="M67" s="122">
        <f>客服部最终提成计算表!$X69*0.15*0.8*0.02*'18年合同登记表'!V67/'18年合同登记表'!$M67</f>
        <v>0</v>
      </c>
      <c r="N67" s="122">
        <f>客服部最终提成计算表!$X69*0.15*0.8*0.85*'18年合同登记表'!X67/'18年合同登记表'!$M67</f>
        <v>0</v>
      </c>
      <c r="O67" s="122">
        <f>客服部最终提成计算表!$X69*0.15*0.8*0.08*'18年合同登记表'!X67/'18年合同登记表'!$M67</f>
        <v>0</v>
      </c>
      <c r="P67" s="122">
        <f>客服部最终提成计算表!$X69*0.15*0.8*0.05*'18年合同登记表'!X67/'18年合同登记表'!$M67</f>
        <v>0</v>
      </c>
      <c r="Q67" s="122">
        <f>客服部最终提成计算表!$X69*0.15*0.8*0.02*'18年合同登记表'!X67/'18年合同登记表'!$M67</f>
        <v>0</v>
      </c>
      <c r="R67" s="122">
        <f>客服部最终提成计算表!$X69*0.15*0.8*0.85*'18年合同登记表'!Z67/'18年合同登记表'!$M67</f>
        <v>0</v>
      </c>
      <c r="S67" s="122">
        <f>客服部最终提成计算表!$X69*0.15*0.8*0.08*'18年合同登记表'!Z67/'18年合同登记表'!$M67</f>
        <v>0</v>
      </c>
      <c r="T67" s="122">
        <f>客服部最终提成计算表!$X69*0.15*0.8*0.05*'18年合同登记表'!Z67/'18年合同登记表'!$M67</f>
        <v>0</v>
      </c>
      <c r="U67" s="122">
        <f>客服部最终提成计算表!$X69*0.15*0.8*0.02*'18年合同登记表'!Z67/'18年合同登记表'!$M67</f>
        <v>0</v>
      </c>
      <c r="V67" s="122">
        <f>客服部最终提成计算表!$X69*0.15*0.8*0.85*'18年合同登记表'!AB67/'18年合同登记表'!$M67</f>
        <v>0</v>
      </c>
      <c r="W67" s="122">
        <f>客服部最终提成计算表!$X69*0.15*0.8*0.08*'18年合同登记表'!AB67/'18年合同登记表'!$M67</f>
        <v>0</v>
      </c>
      <c r="X67" s="122">
        <f>客服部最终提成计算表!$X69*0.15*0.8*0.05*'18年合同登记表'!AB67/'18年合同登记表'!$M67</f>
        <v>0</v>
      </c>
      <c r="Y67" s="122">
        <f>客服部最终提成计算表!$X69*0.15*0.8*0.02*'18年合同登记表'!AB67/'18年合同登记表'!$M67</f>
        <v>0</v>
      </c>
      <c r="Z67" s="122">
        <f>客服部最终提成计算表!$X69*0.15*0.8*0.85*'18年合同登记表'!AD67/'18年合同登记表'!$M67</f>
        <v>2019.6</v>
      </c>
      <c r="AA67" s="122">
        <f>客服部最终提成计算表!$X69*0.15*0.8*0.08*'18年合同登记表'!AD67/'18年合同登记表'!$M67</f>
        <v>190.08</v>
      </c>
      <c r="AB67" s="122">
        <f>客服部最终提成计算表!$X69*0.15*0.8*0.05*'18年合同登记表'!AD67/'18年合同登记表'!$M67</f>
        <v>118.8</v>
      </c>
      <c r="AC67" s="122">
        <f>客服部最终提成计算表!$X69*0.15*0.8*0.02*'18年合同登记表'!AD67/'18年合同登记表'!$M67</f>
        <v>47.52</v>
      </c>
      <c r="AD67" s="122">
        <f>客服部最终提成计算表!$X69*0.15*0.8*0.85*'18年合同登记表'!AF67/'18年合同登记表'!$M67</f>
        <v>0</v>
      </c>
      <c r="AE67" s="122">
        <f>客服部最终提成计算表!$X69*0.15*0.8*0.08*'18年合同登记表'!AF67/'18年合同登记表'!$M67</f>
        <v>0</v>
      </c>
      <c r="AF67" s="122">
        <f>客服部最终提成计算表!$X69*0.15*0.8*0.05*'18年合同登记表'!AF67/'18年合同登记表'!$M67</f>
        <v>0</v>
      </c>
      <c r="AG67" s="122">
        <f>客服部最终提成计算表!$X69*0.15*0.8*0.02*'18年合同登记表'!AF67/'18年合同登记表'!$M67</f>
        <v>0</v>
      </c>
      <c r="AH67" s="122">
        <f>客服部最终提成计算表!$X69*0.15*0.8*0.85*'18年合同登记表'!AH67/'18年合同登记表'!$M67</f>
        <v>0</v>
      </c>
      <c r="AI67" s="122">
        <f>客服部最终提成计算表!$X69*0.15*0.8*0.08*'18年合同登记表'!AH67/'18年合同登记表'!$M67</f>
        <v>0</v>
      </c>
      <c r="AJ67" s="122">
        <f>客服部最终提成计算表!$X69*0.15*0.8*0.05*'18年合同登记表'!AH67/'18年合同登记表'!$M67</f>
        <v>0</v>
      </c>
      <c r="AK67" s="122">
        <f>客服部最终提成计算表!$X69*0.15*0.8*0.02*'18年合同登记表'!AH67/'18年合同登记表'!$M67</f>
        <v>0</v>
      </c>
      <c r="AL67" s="122">
        <f>客服部最终提成计算表!$X69*0.15*0.8*0.85*'18年合同登记表'!AJ67/'18年合同登记表'!$M67</f>
        <v>0</v>
      </c>
      <c r="AM67" s="122">
        <f>客服部最终提成计算表!$X69*0.15*0.8*0.08*'18年合同登记表'!AJ67/'18年合同登记表'!$M67</f>
        <v>0</v>
      </c>
      <c r="AN67" s="122">
        <f>客服部最终提成计算表!$X69*0.15*0.8*0.05*'18年合同登记表'!AJ67/'18年合同登记表'!$M67</f>
        <v>0</v>
      </c>
      <c r="AO67" s="122">
        <f>客服部最终提成计算表!$X69*0.15*0.8*0.02*'18年合同登记表'!AJ67/'18年合同登记表'!$M67</f>
        <v>0</v>
      </c>
      <c r="AP67" s="122">
        <f>客服部最终提成计算表!$X69*0.15*0.8*0.85*'18年合同登记表'!AL67/'18年合同登记表'!$M67</f>
        <v>0</v>
      </c>
      <c r="AQ67" s="122">
        <f>客服部最终提成计算表!$X69*0.15*0.8*0.08*'18年合同登记表'!AL67/'18年合同登记表'!$M67</f>
        <v>0</v>
      </c>
      <c r="AR67" s="122">
        <f>客服部最终提成计算表!$X69*0.15*0.8*0.05*'18年合同登记表'!AL67/'18年合同登记表'!$M67</f>
        <v>0</v>
      </c>
      <c r="AS67" s="122">
        <f>客服部最终提成计算表!$X69*0.15*0.8*0.02*'18年合同登记表'!AL67/'18年合同登记表'!$M67</f>
        <v>0</v>
      </c>
      <c r="AT67" s="122">
        <f>客服部最终提成计算表!$X69*0.15*0.8*0.85*'18年合同登记表'!AN67/'18年合同登记表'!$M67</f>
        <v>0</v>
      </c>
      <c r="AU67" s="122">
        <f>客服部最终提成计算表!$X69*0.15*0.8*0.08*'18年合同登记表'!AN67/'18年合同登记表'!$M67</f>
        <v>0</v>
      </c>
      <c r="AV67" s="122">
        <f>客服部最终提成计算表!$X69*0.15*0.8*0.05*'18年合同登记表'!AN67/'18年合同登记表'!$M67</f>
        <v>0</v>
      </c>
      <c r="AW67" s="122">
        <f>客服部最终提成计算表!$X69*0.15*0.8*0.02*'18年合同登记表'!AN67/'18年合同登记表'!$M67</f>
        <v>0</v>
      </c>
      <c r="AX67" s="122">
        <f>客服部最终提成计算表!$X69*0.15*0.8*0.85*'18年合同登记表'!AP67/'18年合同登记表'!$M67</f>
        <v>0</v>
      </c>
      <c r="AY67" s="122">
        <f>客服部最终提成计算表!$X69*0.15*0.8*0.08*'18年合同登记表'!AP67/'18年合同登记表'!$M67</f>
        <v>0</v>
      </c>
      <c r="AZ67" s="122">
        <f>客服部最终提成计算表!$X69*0.15*0.8*0.05*'18年合同登记表'!AP67/'18年合同登记表'!$M67</f>
        <v>0</v>
      </c>
      <c r="BA67" s="131">
        <f>客服部最终提成计算表!$X69*0.15*0.8*0.02*'18年合同登记表'!AP67/'18年合同登记表'!$M67</f>
        <v>0</v>
      </c>
    </row>
    <row r="68" s="104" customFormat="1" ht="14.25" spans="1:53">
      <c r="A68" s="117"/>
      <c r="B68" s="118" t="e">
        <f>'18年合同登记表'!#REF!</f>
        <v>#REF!</v>
      </c>
      <c r="C68" s="119" t="e">
        <f>'18年合同登记表'!#REF!</f>
        <v>#REF!</v>
      </c>
      <c r="D68" s="119" t="e">
        <f>'18年合同登记表'!#REF!</f>
        <v>#REF!</v>
      </c>
      <c r="E68" s="120" t="e">
        <f>'18年合同登记表'!#REF!</f>
        <v>#REF!</v>
      </c>
      <c r="F68" s="121" t="e">
        <f>客服部最终提成计算表!$X70*0.15*0.8*0.85*'18年合同登记表'!#REF!/'18年合同登记表'!#REF!</f>
        <v>#REF!</v>
      </c>
      <c r="G68" s="122" t="e">
        <f>客服部最终提成计算表!$X70*0.15*0.8*0.08*'18年合同登记表'!#REF!/'18年合同登记表'!#REF!</f>
        <v>#REF!</v>
      </c>
      <c r="H68" s="122" t="e">
        <f>客服部最终提成计算表!$X70*0.15*0.8*0.05*'18年合同登记表'!#REF!/'18年合同登记表'!#REF!</f>
        <v>#REF!</v>
      </c>
      <c r="I68" s="122" t="e">
        <f>客服部最终提成计算表!$X70*0.15*0.8*0.02*'18年合同登记表'!#REF!/'18年合同登记表'!#REF!</f>
        <v>#REF!</v>
      </c>
      <c r="J68" s="122" t="e">
        <f>客服部最终提成计算表!$X70*0.15*0.8*0.85*'18年合同登记表'!#REF!/'18年合同登记表'!#REF!</f>
        <v>#REF!</v>
      </c>
      <c r="K68" s="122" t="e">
        <f>客服部最终提成计算表!$X70*0.15*0.8*0.08*'18年合同登记表'!#REF!/'18年合同登记表'!#REF!</f>
        <v>#REF!</v>
      </c>
      <c r="L68" s="122" t="e">
        <f>客服部最终提成计算表!$X70*0.15*0.8*0.05*'18年合同登记表'!#REF!/'18年合同登记表'!#REF!</f>
        <v>#REF!</v>
      </c>
      <c r="M68" s="122" t="e">
        <f>客服部最终提成计算表!$X70*0.15*0.8*0.02*'18年合同登记表'!#REF!/'18年合同登记表'!#REF!</f>
        <v>#REF!</v>
      </c>
      <c r="N68" s="122" t="e">
        <f>客服部最终提成计算表!$X70*0.15*0.8*0.85*'18年合同登记表'!#REF!/'18年合同登记表'!#REF!</f>
        <v>#REF!</v>
      </c>
      <c r="O68" s="122" t="e">
        <f>客服部最终提成计算表!$X70*0.15*0.8*0.08*'18年合同登记表'!#REF!/'18年合同登记表'!#REF!</f>
        <v>#REF!</v>
      </c>
      <c r="P68" s="122" t="e">
        <f>客服部最终提成计算表!$X70*0.15*0.8*0.05*'18年合同登记表'!#REF!/'18年合同登记表'!#REF!</f>
        <v>#REF!</v>
      </c>
      <c r="Q68" s="122" t="e">
        <f>客服部最终提成计算表!$X70*0.15*0.8*0.02*'18年合同登记表'!#REF!/'18年合同登记表'!#REF!</f>
        <v>#REF!</v>
      </c>
      <c r="R68" s="122" t="e">
        <f>客服部最终提成计算表!$X70*0.15*0.8*0.85*'18年合同登记表'!#REF!/'18年合同登记表'!#REF!</f>
        <v>#REF!</v>
      </c>
      <c r="S68" s="122" t="e">
        <f>客服部最终提成计算表!$X70*0.15*0.8*0.08*'18年合同登记表'!#REF!/'18年合同登记表'!#REF!</f>
        <v>#REF!</v>
      </c>
      <c r="T68" s="122" t="e">
        <f>客服部最终提成计算表!$X70*0.15*0.8*0.05*'18年合同登记表'!#REF!/'18年合同登记表'!#REF!</f>
        <v>#REF!</v>
      </c>
      <c r="U68" s="122" t="e">
        <f>客服部最终提成计算表!$X70*0.15*0.8*0.02*'18年合同登记表'!#REF!/'18年合同登记表'!#REF!</f>
        <v>#REF!</v>
      </c>
      <c r="V68" s="122" t="e">
        <f>客服部最终提成计算表!$X70*0.15*0.8*0.85*'18年合同登记表'!#REF!/'18年合同登记表'!#REF!</f>
        <v>#REF!</v>
      </c>
      <c r="W68" s="122" t="e">
        <f>客服部最终提成计算表!$X70*0.15*0.8*0.08*'18年合同登记表'!#REF!/'18年合同登记表'!#REF!</f>
        <v>#REF!</v>
      </c>
      <c r="X68" s="122" t="e">
        <f>客服部最终提成计算表!$X70*0.15*0.8*0.05*'18年合同登记表'!#REF!/'18年合同登记表'!#REF!</f>
        <v>#REF!</v>
      </c>
      <c r="Y68" s="122" t="e">
        <f>客服部最终提成计算表!$X70*0.15*0.8*0.02*'18年合同登记表'!#REF!/'18年合同登记表'!#REF!</f>
        <v>#REF!</v>
      </c>
      <c r="Z68" s="122" t="e">
        <f>客服部最终提成计算表!$X70*0.15*0.8*0.85*'18年合同登记表'!#REF!/'18年合同登记表'!#REF!</f>
        <v>#REF!</v>
      </c>
      <c r="AA68" s="122" t="e">
        <f>客服部最终提成计算表!$X70*0.15*0.8*0.08*'18年合同登记表'!#REF!/'18年合同登记表'!#REF!</f>
        <v>#REF!</v>
      </c>
      <c r="AB68" s="122" t="e">
        <f>客服部最终提成计算表!$X70*0.15*0.8*0.05*'18年合同登记表'!#REF!/'18年合同登记表'!#REF!</f>
        <v>#REF!</v>
      </c>
      <c r="AC68" s="122" t="e">
        <f>客服部最终提成计算表!$X70*0.15*0.8*0.02*'18年合同登记表'!#REF!/'18年合同登记表'!#REF!</f>
        <v>#REF!</v>
      </c>
      <c r="AD68" s="122" t="e">
        <f>客服部最终提成计算表!$X70*0.15*0.8*0.85*'18年合同登记表'!#REF!/'18年合同登记表'!#REF!</f>
        <v>#REF!</v>
      </c>
      <c r="AE68" s="122" t="e">
        <f>客服部最终提成计算表!$X70*0.15*0.8*0.08*'18年合同登记表'!#REF!/'18年合同登记表'!#REF!</f>
        <v>#REF!</v>
      </c>
      <c r="AF68" s="122" t="e">
        <f>客服部最终提成计算表!$X70*0.15*0.8*0.05*'18年合同登记表'!#REF!/'18年合同登记表'!#REF!</f>
        <v>#REF!</v>
      </c>
      <c r="AG68" s="122" t="e">
        <f>客服部最终提成计算表!$X70*0.15*0.8*0.02*'18年合同登记表'!#REF!/'18年合同登记表'!#REF!</f>
        <v>#REF!</v>
      </c>
      <c r="AH68" s="122" t="e">
        <f>客服部最终提成计算表!$X70*0.15*0.8*0.85*'18年合同登记表'!#REF!/'18年合同登记表'!#REF!</f>
        <v>#REF!</v>
      </c>
      <c r="AI68" s="122" t="e">
        <f>客服部最终提成计算表!$X70*0.15*0.8*0.08*'18年合同登记表'!#REF!/'18年合同登记表'!#REF!</f>
        <v>#REF!</v>
      </c>
      <c r="AJ68" s="122" t="e">
        <f>客服部最终提成计算表!$X70*0.15*0.8*0.05*'18年合同登记表'!#REF!/'18年合同登记表'!#REF!</f>
        <v>#REF!</v>
      </c>
      <c r="AK68" s="122" t="e">
        <f>客服部最终提成计算表!$X70*0.15*0.8*0.02*'18年合同登记表'!#REF!/'18年合同登记表'!#REF!</f>
        <v>#REF!</v>
      </c>
      <c r="AL68" s="122" t="e">
        <f>客服部最终提成计算表!$X70*0.15*0.8*0.85*'18年合同登记表'!#REF!/'18年合同登记表'!#REF!</f>
        <v>#REF!</v>
      </c>
      <c r="AM68" s="122" t="e">
        <f>客服部最终提成计算表!$X70*0.15*0.8*0.08*'18年合同登记表'!#REF!/'18年合同登记表'!#REF!</f>
        <v>#REF!</v>
      </c>
      <c r="AN68" s="122" t="e">
        <f>客服部最终提成计算表!$X70*0.15*0.8*0.05*'18年合同登记表'!#REF!/'18年合同登记表'!#REF!</f>
        <v>#REF!</v>
      </c>
      <c r="AO68" s="122" t="e">
        <f>客服部最终提成计算表!$X70*0.15*0.8*0.02*'18年合同登记表'!#REF!/'18年合同登记表'!#REF!</f>
        <v>#REF!</v>
      </c>
      <c r="AP68" s="122" t="e">
        <f>客服部最终提成计算表!$X70*0.15*0.8*0.85*'18年合同登记表'!#REF!/'18年合同登记表'!#REF!</f>
        <v>#REF!</v>
      </c>
      <c r="AQ68" s="122" t="e">
        <f>客服部最终提成计算表!$X70*0.15*0.8*0.08*'18年合同登记表'!#REF!/'18年合同登记表'!#REF!</f>
        <v>#REF!</v>
      </c>
      <c r="AR68" s="122" t="e">
        <f>客服部最终提成计算表!$X70*0.15*0.8*0.05*'18年合同登记表'!#REF!/'18年合同登记表'!#REF!</f>
        <v>#REF!</v>
      </c>
      <c r="AS68" s="122" t="e">
        <f>客服部最终提成计算表!$X70*0.15*0.8*0.02*'18年合同登记表'!#REF!/'18年合同登记表'!#REF!</f>
        <v>#REF!</v>
      </c>
      <c r="AT68" s="122" t="e">
        <f>客服部最终提成计算表!$X70*0.15*0.8*0.85*'18年合同登记表'!#REF!/'18年合同登记表'!#REF!</f>
        <v>#REF!</v>
      </c>
      <c r="AU68" s="122" t="e">
        <f>客服部最终提成计算表!$X70*0.15*0.8*0.08*'18年合同登记表'!#REF!/'18年合同登记表'!#REF!</f>
        <v>#REF!</v>
      </c>
      <c r="AV68" s="122" t="e">
        <f>客服部最终提成计算表!$X70*0.15*0.8*0.05*'18年合同登记表'!#REF!/'18年合同登记表'!#REF!</f>
        <v>#REF!</v>
      </c>
      <c r="AW68" s="122" t="e">
        <f>客服部最终提成计算表!$X70*0.15*0.8*0.02*'18年合同登记表'!#REF!/'18年合同登记表'!#REF!</f>
        <v>#REF!</v>
      </c>
      <c r="AX68" s="122" t="e">
        <f>客服部最终提成计算表!$X70*0.15*0.8*0.85*'18年合同登记表'!#REF!/'18年合同登记表'!#REF!</f>
        <v>#REF!</v>
      </c>
      <c r="AY68" s="122" t="e">
        <f>客服部最终提成计算表!$X70*0.15*0.8*0.08*'18年合同登记表'!#REF!/'18年合同登记表'!#REF!</f>
        <v>#REF!</v>
      </c>
      <c r="AZ68" s="122" t="e">
        <f>客服部最终提成计算表!$X70*0.15*0.8*0.05*'18年合同登记表'!#REF!/'18年合同登记表'!#REF!</f>
        <v>#REF!</v>
      </c>
      <c r="BA68" s="131" t="e">
        <f>客服部最终提成计算表!$X70*0.15*0.8*0.02*'18年合同登记表'!#REF!/'18年合同登记表'!#REF!</f>
        <v>#REF!</v>
      </c>
    </row>
    <row r="69" s="104" customFormat="1" ht="14.25" spans="1:53">
      <c r="A69" s="117"/>
      <c r="B69" s="118" t="e">
        <f>'18年合同登记表'!#REF!</f>
        <v>#REF!</v>
      </c>
      <c r="C69" s="119" t="e">
        <f>'18年合同登记表'!#REF!</f>
        <v>#REF!</v>
      </c>
      <c r="D69" s="119" t="e">
        <f>'18年合同登记表'!#REF!</f>
        <v>#REF!</v>
      </c>
      <c r="E69" s="120" t="e">
        <f>'18年合同登记表'!#REF!</f>
        <v>#REF!</v>
      </c>
      <c r="F69" s="121" t="e">
        <f>客服部最终提成计算表!$X71*0.15*0.8*0.85*'18年合同登记表'!#REF!/'18年合同登记表'!#REF!</f>
        <v>#REF!</v>
      </c>
      <c r="G69" s="122" t="e">
        <f>客服部最终提成计算表!$X71*0.15*0.8*0.08*'18年合同登记表'!#REF!/'18年合同登记表'!#REF!</f>
        <v>#REF!</v>
      </c>
      <c r="H69" s="122" t="e">
        <f>客服部最终提成计算表!$X71*0.15*0.8*0.05*'18年合同登记表'!#REF!/'18年合同登记表'!#REF!</f>
        <v>#REF!</v>
      </c>
      <c r="I69" s="122" t="e">
        <f>客服部最终提成计算表!$X71*0.15*0.8*0.02*'18年合同登记表'!#REF!/'18年合同登记表'!#REF!</f>
        <v>#REF!</v>
      </c>
      <c r="J69" s="122" t="e">
        <f>客服部最终提成计算表!$X71*0.15*0.8*0.85*'18年合同登记表'!#REF!/'18年合同登记表'!#REF!</f>
        <v>#REF!</v>
      </c>
      <c r="K69" s="122" t="e">
        <f>客服部最终提成计算表!$X71*0.15*0.8*0.08*'18年合同登记表'!#REF!/'18年合同登记表'!#REF!</f>
        <v>#REF!</v>
      </c>
      <c r="L69" s="122" t="e">
        <f>客服部最终提成计算表!$X71*0.15*0.8*0.05*'18年合同登记表'!#REF!/'18年合同登记表'!#REF!</f>
        <v>#REF!</v>
      </c>
      <c r="M69" s="122" t="e">
        <f>客服部最终提成计算表!$X71*0.15*0.8*0.02*'18年合同登记表'!#REF!/'18年合同登记表'!#REF!</f>
        <v>#REF!</v>
      </c>
      <c r="N69" s="122" t="e">
        <f>客服部最终提成计算表!$X71*0.15*0.8*0.85*'18年合同登记表'!#REF!/'18年合同登记表'!#REF!</f>
        <v>#REF!</v>
      </c>
      <c r="O69" s="122" t="e">
        <f>客服部最终提成计算表!$X71*0.15*0.8*0.08*'18年合同登记表'!#REF!/'18年合同登记表'!#REF!</f>
        <v>#REF!</v>
      </c>
      <c r="P69" s="122" t="e">
        <f>客服部最终提成计算表!$X71*0.15*0.8*0.05*'18年合同登记表'!#REF!/'18年合同登记表'!#REF!</f>
        <v>#REF!</v>
      </c>
      <c r="Q69" s="122" t="e">
        <f>客服部最终提成计算表!$X71*0.15*0.8*0.02*'18年合同登记表'!#REF!/'18年合同登记表'!#REF!</f>
        <v>#REF!</v>
      </c>
      <c r="R69" s="122" t="e">
        <f>客服部最终提成计算表!$X71*0.15*0.8*0.85*'18年合同登记表'!#REF!/'18年合同登记表'!#REF!</f>
        <v>#REF!</v>
      </c>
      <c r="S69" s="122" t="e">
        <f>客服部最终提成计算表!$X71*0.15*0.8*0.08*'18年合同登记表'!#REF!/'18年合同登记表'!#REF!</f>
        <v>#REF!</v>
      </c>
      <c r="T69" s="122" t="e">
        <f>客服部最终提成计算表!$X71*0.15*0.8*0.05*'18年合同登记表'!#REF!/'18年合同登记表'!#REF!</f>
        <v>#REF!</v>
      </c>
      <c r="U69" s="122" t="e">
        <f>客服部最终提成计算表!$X71*0.15*0.8*0.02*'18年合同登记表'!#REF!/'18年合同登记表'!#REF!</f>
        <v>#REF!</v>
      </c>
      <c r="V69" s="122" t="e">
        <f>客服部最终提成计算表!$X71*0.15*0.8*0.85*'18年合同登记表'!#REF!/'18年合同登记表'!#REF!</f>
        <v>#REF!</v>
      </c>
      <c r="W69" s="122" t="e">
        <f>客服部最终提成计算表!$X71*0.15*0.8*0.08*'18年合同登记表'!#REF!/'18年合同登记表'!#REF!</f>
        <v>#REF!</v>
      </c>
      <c r="X69" s="122" t="e">
        <f>客服部最终提成计算表!$X71*0.15*0.8*0.05*'18年合同登记表'!#REF!/'18年合同登记表'!#REF!</f>
        <v>#REF!</v>
      </c>
      <c r="Y69" s="122" t="e">
        <f>客服部最终提成计算表!$X71*0.15*0.8*0.02*'18年合同登记表'!#REF!/'18年合同登记表'!#REF!</f>
        <v>#REF!</v>
      </c>
      <c r="Z69" s="122" t="e">
        <f>客服部最终提成计算表!$X71*0.15*0.8*0.85*'18年合同登记表'!#REF!/'18年合同登记表'!#REF!</f>
        <v>#REF!</v>
      </c>
      <c r="AA69" s="122" t="e">
        <f>客服部最终提成计算表!$X71*0.15*0.8*0.08*'18年合同登记表'!#REF!/'18年合同登记表'!#REF!</f>
        <v>#REF!</v>
      </c>
      <c r="AB69" s="122" t="e">
        <f>客服部最终提成计算表!$X71*0.15*0.8*0.05*'18年合同登记表'!#REF!/'18年合同登记表'!#REF!</f>
        <v>#REF!</v>
      </c>
      <c r="AC69" s="122" t="e">
        <f>客服部最终提成计算表!$X71*0.15*0.8*0.02*'18年合同登记表'!#REF!/'18年合同登记表'!#REF!</f>
        <v>#REF!</v>
      </c>
      <c r="AD69" s="122" t="e">
        <f>客服部最终提成计算表!$X71*0.15*0.8*0.85*'18年合同登记表'!#REF!/'18年合同登记表'!#REF!</f>
        <v>#REF!</v>
      </c>
      <c r="AE69" s="122" t="e">
        <f>客服部最终提成计算表!$X71*0.15*0.8*0.08*'18年合同登记表'!#REF!/'18年合同登记表'!#REF!</f>
        <v>#REF!</v>
      </c>
      <c r="AF69" s="122" t="e">
        <f>客服部最终提成计算表!$X71*0.15*0.8*0.05*'18年合同登记表'!#REF!/'18年合同登记表'!#REF!</f>
        <v>#REF!</v>
      </c>
      <c r="AG69" s="122" t="e">
        <f>客服部最终提成计算表!$X71*0.15*0.8*0.02*'18年合同登记表'!#REF!/'18年合同登记表'!#REF!</f>
        <v>#REF!</v>
      </c>
      <c r="AH69" s="122" t="e">
        <f>客服部最终提成计算表!$X71*0.15*0.8*0.85*'18年合同登记表'!#REF!/'18年合同登记表'!#REF!</f>
        <v>#REF!</v>
      </c>
      <c r="AI69" s="122" t="e">
        <f>客服部最终提成计算表!$X71*0.15*0.8*0.08*'18年合同登记表'!#REF!/'18年合同登记表'!#REF!</f>
        <v>#REF!</v>
      </c>
      <c r="AJ69" s="122" t="e">
        <f>客服部最终提成计算表!$X71*0.15*0.8*0.05*'18年合同登记表'!#REF!/'18年合同登记表'!#REF!</f>
        <v>#REF!</v>
      </c>
      <c r="AK69" s="122" t="e">
        <f>客服部最终提成计算表!$X71*0.15*0.8*0.02*'18年合同登记表'!#REF!/'18年合同登记表'!#REF!</f>
        <v>#REF!</v>
      </c>
      <c r="AL69" s="122" t="e">
        <f>客服部最终提成计算表!$X71*0.15*0.8*0.85*'18年合同登记表'!#REF!/'18年合同登记表'!#REF!</f>
        <v>#REF!</v>
      </c>
      <c r="AM69" s="122" t="e">
        <f>客服部最终提成计算表!$X71*0.15*0.8*0.08*'18年合同登记表'!#REF!/'18年合同登记表'!#REF!</f>
        <v>#REF!</v>
      </c>
      <c r="AN69" s="122" t="e">
        <f>客服部最终提成计算表!$X71*0.15*0.8*0.05*'18年合同登记表'!#REF!/'18年合同登记表'!#REF!</f>
        <v>#REF!</v>
      </c>
      <c r="AO69" s="122" t="e">
        <f>客服部最终提成计算表!$X71*0.15*0.8*0.02*'18年合同登记表'!#REF!/'18年合同登记表'!#REF!</f>
        <v>#REF!</v>
      </c>
      <c r="AP69" s="122" t="e">
        <f>客服部最终提成计算表!$X71*0.15*0.8*0.85*'18年合同登记表'!#REF!/'18年合同登记表'!#REF!</f>
        <v>#REF!</v>
      </c>
      <c r="AQ69" s="122" t="e">
        <f>客服部最终提成计算表!$X71*0.15*0.8*0.08*'18年合同登记表'!#REF!/'18年合同登记表'!#REF!</f>
        <v>#REF!</v>
      </c>
      <c r="AR69" s="122" t="e">
        <f>客服部最终提成计算表!$X71*0.15*0.8*0.05*'18年合同登记表'!#REF!/'18年合同登记表'!#REF!</f>
        <v>#REF!</v>
      </c>
      <c r="AS69" s="122" t="e">
        <f>客服部最终提成计算表!$X71*0.15*0.8*0.02*'18年合同登记表'!#REF!/'18年合同登记表'!#REF!</f>
        <v>#REF!</v>
      </c>
      <c r="AT69" s="122" t="e">
        <f>客服部最终提成计算表!$X71*0.15*0.8*0.85*'18年合同登记表'!#REF!/'18年合同登记表'!#REF!</f>
        <v>#REF!</v>
      </c>
      <c r="AU69" s="122" t="e">
        <f>客服部最终提成计算表!$X71*0.15*0.8*0.08*'18年合同登记表'!#REF!/'18年合同登记表'!#REF!</f>
        <v>#REF!</v>
      </c>
      <c r="AV69" s="122" t="e">
        <f>客服部最终提成计算表!$X71*0.15*0.8*0.05*'18年合同登记表'!#REF!/'18年合同登记表'!#REF!</f>
        <v>#REF!</v>
      </c>
      <c r="AW69" s="122" t="e">
        <f>客服部最终提成计算表!$X71*0.15*0.8*0.02*'18年合同登记表'!#REF!/'18年合同登记表'!#REF!</f>
        <v>#REF!</v>
      </c>
      <c r="AX69" s="122" t="e">
        <f>客服部最终提成计算表!$X71*0.15*0.8*0.85*'18年合同登记表'!#REF!/'18年合同登记表'!#REF!</f>
        <v>#REF!</v>
      </c>
      <c r="AY69" s="122" t="e">
        <f>客服部最终提成计算表!$X71*0.15*0.8*0.08*'18年合同登记表'!#REF!/'18年合同登记表'!#REF!</f>
        <v>#REF!</v>
      </c>
      <c r="AZ69" s="122" t="e">
        <f>客服部最终提成计算表!$X71*0.15*0.8*0.05*'18年合同登记表'!#REF!/'18年合同登记表'!#REF!</f>
        <v>#REF!</v>
      </c>
      <c r="BA69" s="131" t="e">
        <f>客服部最终提成计算表!$X71*0.15*0.8*0.02*'18年合同登记表'!#REF!/'18年合同登记表'!#REF!</f>
        <v>#REF!</v>
      </c>
    </row>
    <row r="70" s="104" customFormat="1" ht="14.25" spans="1:53">
      <c r="A70" s="123" t="s">
        <v>980</v>
      </c>
      <c r="B70" s="124">
        <f>'18年合同登记表'!F83</f>
        <v>0</v>
      </c>
      <c r="C70" s="125">
        <f>'18年合同登记表'!H83</f>
        <v>0</v>
      </c>
      <c r="D70" s="125">
        <f>'18年合同登记表'!I83</f>
        <v>0</v>
      </c>
      <c r="E70" s="126">
        <f>'18年合同登记表'!L83</f>
        <v>0</v>
      </c>
      <c r="F70" s="127" t="e">
        <f>SUM(F62:F69)</f>
        <v>#REF!</v>
      </c>
      <c r="G70" s="128" t="e">
        <f>客服部最终提成计算表!$X72*0.15*0.8*0.08*'18年合同登记表'!T83/'18年合同登记表'!$M83</f>
        <v>#REF!</v>
      </c>
      <c r="H70" s="128" t="e">
        <f>客服部最终提成计算表!$X72*0.15*0.8*0.05*'18年合同登记表'!T83/'18年合同登记表'!$M83</f>
        <v>#REF!</v>
      </c>
      <c r="I70" s="128" t="e">
        <f>客服部最终提成计算表!$X72*0.15*0.8*0.02*'18年合同登记表'!T83/'18年合同登记表'!$M83</f>
        <v>#REF!</v>
      </c>
      <c r="J70" s="128" t="e">
        <f>客服部最终提成计算表!$X72*0.15*0.8*0.85*'18年合同登记表'!V83/'18年合同登记表'!$M83</f>
        <v>#REF!</v>
      </c>
      <c r="K70" s="128" t="e">
        <f>客服部最终提成计算表!$X72*0.15*0.8*0.08*'18年合同登记表'!V83/'18年合同登记表'!$M83</f>
        <v>#REF!</v>
      </c>
      <c r="L70" s="128" t="e">
        <f>客服部最终提成计算表!$X72*0.15*0.8*0.05*'18年合同登记表'!V83/'18年合同登记表'!$M83</f>
        <v>#REF!</v>
      </c>
      <c r="M70" s="128" t="e">
        <f>客服部最终提成计算表!$X72*0.15*0.8*0.02*'18年合同登记表'!V83/'18年合同登记表'!$M83</f>
        <v>#REF!</v>
      </c>
      <c r="N70" s="128" t="e">
        <f>客服部最终提成计算表!$X72*0.15*0.8*0.85*'18年合同登记表'!X83/'18年合同登记表'!$M83</f>
        <v>#REF!</v>
      </c>
      <c r="O70" s="128" t="e">
        <f>客服部最终提成计算表!$X72*0.15*0.8*0.08*'18年合同登记表'!X83/'18年合同登记表'!$M83</f>
        <v>#REF!</v>
      </c>
      <c r="P70" s="128" t="e">
        <f>客服部最终提成计算表!$X72*0.15*0.8*0.05*'18年合同登记表'!X83/'18年合同登记表'!$M83</f>
        <v>#REF!</v>
      </c>
      <c r="Q70" s="128" t="e">
        <f>客服部最终提成计算表!$X72*0.15*0.8*0.02*'18年合同登记表'!X83/'18年合同登记表'!$M83</f>
        <v>#REF!</v>
      </c>
      <c r="R70" s="128" t="e">
        <f>客服部最终提成计算表!$X72*0.15*0.8*0.85*'18年合同登记表'!Z83/'18年合同登记表'!$M83</f>
        <v>#REF!</v>
      </c>
      <c r="S70" s="128" t="e">
        <f>客服部最终提成计算表!$X72*0.15*0.8*0.08*'18年合同登记表'!Z83/'18年合同登记表'!$M83</f>
        <v>#REF!</v>
      </c>
      <c r="T70" s="128" t="e">
        <f>客服部最终提成计算表!$X72*0.15*0.8*0.05*'18年合同登记表'!Z83/'18年合同登记表'!$M83</f>
        <v>#REF!</v>
      </c>
      <c r="U70" s="128" t="e">
        <f>客服部最终提成计算表!$X72*0.15*0.8*0.02*'18年合同登记表'!Z83/'18年合同登记表'!$M83</f>
        <v>#REF!</v>
      </c>
      <c r="V70" s="128" t="e">
        <f>客服部最终提成计算表!$X72*0.15*0.8*0.85*'18年合同登记表'!AB83/'18年合同登记表'!$M83</f>
        <v>#REF!</v>
      </c>
      <c r="W70" s="128" t="e">
        <f>客服部最终提成计算表!$X72*0.15*0.8*0.08*'18年合同登记表'!AB83/'18年合同登记表'!$M83</f>
        <v>#REF!</v>
      </c>
      <c r="X70" s="128" t="e">
        <f>客服部最终提成计算表!$X72*0.15*0.8*0.05*'18年合同登记表'!AB83/'18年合同登记表'!$M83</f>
        <v>#REF!</v>
      </c>
      <c r="Y70" s="128" t="e">
        <f>客服部最终提成计算表!$X72*0.15*0.8*0.02*'18年合同登记表'!AB83/'18年合同登记表'!$M83</f>
        <v>#REF!</v>
      </c>
      <c r="Z70" s="128" t="e">
        <f>客服部最终提成计算表!$X72*0.15*0.8*0.85*'18年合同登记表'!AD83/'18年合同登记表'!$M83</f>
        <v>#REF!</v>
      </c>
      <c r="AA70" s="128" t="e">
        <f>客服部最终提成计算表!$X72*0.15*0.8*0.08*'18年合同登记表'!AD83/'18年合同登记表'!$M83</f>
        <v>#REF!</v>
      </c>
      <c r="AB70" s="128" t="e">
        <f>客服部最终提成计算表!$X72*0.15*0.8*0.05*'18年合同登记表'!AD83/'18年合同登记表'!$M83</f>
        <v>#REF!</v>
      </c>
      <c r="AC70" s="128" t="e">
        <f>客服部最终提成计算表!$X72*0.15*0.8*0.02*'18年合同登记表'!AD83/'18年合同登记表'!$M83</f>
        <v>#REF!</v>
      </c>
      <c r="AD70" s="128" t="e">
        <f>客服部最终提成计算表!$X72*0.15*0.8*0.85*'18年合同登记表'!AF83/'18年合同登记表'!$M83</f>
        <v>#REF!</v>
      </c>
      <c r="AE70" s="128" t="e">
        <f>客服部最终提成计算表!$X72*0.15*0.8*0.08*'18年合同登记表'!AF83/'18年合同登记表'!$M83</f>
        <v>#REF!</v>
      </c>
      <c r="AF70" s="128" t="e">
        <f>客服部最终提成计算表!$X72*0.15*0.8*0.05*'18年合同登记表'!AF83/'18年合同登记表'!$M83</f>
        <v>#REF!</v>
      </c>
      <c r="AG70" s="128" t="e">
        <f>客服部最终提成计算表!$X72*0.15*0.8*0.02*'18年合同登记表'!AF83/'18年合同登记表'!$M83</f>
        <v>#REF!</v>
      </c>
      <c r="AH70" s="128" t="e">
        <f>客服部最终提成计算表!$X72*0.15*0.8*0.85*'18年合同登记表'!AH83/'18年合同登记表'!$M83</f>
        <v>#REF!</v>
      </c>
      <c r="AI70" s="128" t="e">
        <f>客服部最终提成计算表!$X72*0.15*0.8*0.08*'18年合同登记表'!AH83/'18年合同登记表'!$M83</f>
        <v>#REF!</v>
      </c>
      <c r="AJ70" s="128" t="e">
        <f>客服部最终提成计算表!$X72*0.15*0.8*0.05*'18年合同登记表'!AH83/'18年合同登记表'!$M83</f>
        <v>#REF!</v>
      </c>
      <c r="AK70" s="128" t="e">
        <f>客服部最终提成计算表!$X72*0.15*0.8*0.02*'18年合同登记表'!AH83/'18年合同登记表'!$M83</f>
        <v>#REF!</v>
      </c>
      <c r="AL70" s="128" t="e">
        <f>客服部最终提成计算表!$X72*0.15*0.8*0.85*'18年合同登记表'!AJ83/'18年合同登记表'!$M83</f>
        <v>#REF!</v>
      </c>
      <c r="AM70" s="128" t="e">
        <f>客服部最终提成计算表!$X72*0.15*0.8*0.08*'18年合同登记表'!AJ83/'18年合同登记表'!$M83</f>
        <v>#REF!</v>
      </c>
      <c r="AN70" s="128" t="e">
        <f>客服部最终提成计算表!$X72*0.15*0.8*0.05*'18年合同登记表'!AJ83/'18年合同登记表'!$M83</f>
        <v>#REF!</v>
      </c>
      <c r="AO70" s="128" t="e">
        <f>客服部最终提成计算表!$X72*0.15*0.8*0.02*'18年合同登记表'!AJ83/'18年合同登记表'!$M83</f>
        <v>#REF!</v>
      </c>
      <c r="AP70" s="128" t="e">
        <f>客服部最终提成计算表!$X72*0.15*0.8*0.85*'18年合同登记表'!AL83/'18年合同登记表'!$M83</f>
        <v>#REF!</v>
      </c>
      <c r="AQ70" s="128" t="e">
        <f>客服部最终提成计算表!$X72*0.15*0.8*0.08*'18年合同登记表'!AL83/'18年合同登记表'!$M83</f>
        <v>#REF!</v>
      </c>
      <c r="AR70" s="128" t="e">
        <f>客服部最终提成计算表!$X72*0.15*0.8*0.05*'18年合同登记表'!AL83/'18年合同登记表'!$M83</f>
        <v>#REF!</v>
      </c>
      <c r="AS70" s="128" t="e">
        <f>客服部最终提成计算表!$X72*0.15*0.8*0.02*'18年合同登记表'!AL83/'18年合同登记表'!$M83</f>
        <v>#REF!</v>
      </c>
      <c r="AT70" s="128" t="e">
        <f>客服部最终提成计算表!$X72*0.15*0.8*0.85*'18年合同登记表'!AN83/'18年合同登记表'!$M83</f>
        <v>#REF!</v>
      </c>
      <c r="AU70" s="128" t="e">
        <f>客服部最终提成计算表!$X72*0.15*0.8*0.08*'18年合同登记表'!AN83/'18年合同登记表'!$M83</f>
        <v>#REF!</v>
      </c>
      <c r="AV70" s="128" t="e">
        <f>客服部最终提成计算表!$X72*0.15*0.8*0.05*'18年合同登记表'!AN83/'18年合同登记表'!$M83</f>
        <v>#REF!</v>
      </c>
      <c r="AW70" s="128" t="e">
        <f>客服部最终提成计算表!$X72*0.15*0.8*0.02*'18年合同登记表'!AN83/'18年合同登记表'!$M83</f>
        <v>#REF!</v>
      </c>
      <c r="AX70" s="128" t="e">
        <f>客服部最终提成计算表!$X72*0.15*0.8*0.85*'18年合同登记表'!AP83/'18年合同登记表'!$M83</f>
        <v>#REF!</v>
      </c>
      <c r="AY70" s="128" t="e">
        <f>客服部最终提成计算表!$X72*0.15*0.8*0.08*'18年合同登记表'!AP83/'18年合同登记表'!$M83</f>
        <v>#REF!</v>
      </c>
      <c r="AZ70" s="128" t="e">
        <f>客服部最终提成计算表!$X72*0.15*0.8*0.05*'18年合同登记表'!AP83/'18年合同登记表'!$M83</f>
        <v>#REF!</v>
      </c>
      <c r="BA70" s="132" t="e">
        <f>客服部最终提成计算表!$X72*0.15*0.8*0.02*'18年合同登记表'!AP83/'18年合同登记表'!$M83</f>
        <v>#REF!</v>
      </c>
    </row>
    <row r="71" s="104" customFormat="1" ht="14.25" spans="1:53">
      <c r="A71" s="123" t="s">
        <v>981</v>
      </c>
      <c r="B71" s="124">
        <f>'18年合同登记表'!F84</f>
        <v>0</v>
      </c>
      <c r="C71" s="125">
        <f>'18年合同登记表'!H84</f>
        <v>0</v>
      </c>
      <c r="D71" s="125">
        <f>'18年合同登记表'!I84</f>
        <v>0</v>
      </c>
      <c r="E71" s="126">
        <f>'18年合同登记表'!L84</f>
        <v>0</v>
      </c>
      <c r="F71" s="127" t="e">
        <f>F61+F70</f>
        <v>#REF!</v>
      </c>
      <c r="G71" s="127" t="e">
        <f t="shared" ref="G71" si="96">G61+G70</f>
        <v>#REF!</v>
      </c>
      <c r="H71" s="127" t="e">
        <f t="shared" ref="H71" si="97">H61+H70</f>
        <v>#REF!</v>
      </c>
      <c r="I71" s="127" t="e">
        <f t="shared" ref="I71" si="98">I61+I70</f>
        <v>#REF!</v>
      </c>
      <c r="J71" s="127" t="e">
        <f t="shared" ref="J71" si="99">J61+J70</f>
        <v>#REF!</v>
      </c>
      <c r="K71" s="127" t="e">
        <f t="shared" ref="K71" si="100">K61+K70</f>
        <v>#REF!</v>
      </c>
      <c r="L71" s="127" t="e">
        <f t="shared" ref="L71" si="101">L61+L70</f>
        <v>#REF!</v>
      </c>
      <c r="M71" s="127" t="e">
        <f t="shared" ref="M71" si="102">M61+M70</f>
        <v>#REF!</v>
      </c>
      <c r="N71" s="127" t="e">
        <f t="shared" ref="N71" si="103">N61+N70</f>
        <v>#REF!</v>
      </c>
      <c r="O71" s="127" t="e">
        <f t="shared" ref="O71" si="104">O61+O70</f>
        <v>#REF!</v>
      </c>
      <c r="P71" s="127" t="e">
        <f t="shared" ref="P71" si="105">P61+P70</f>
        <v>#REF!</v>
      </c>
      <c r="Q71" s="127" t="e">
        <f t="shared" ref="Q71" si="106">Q61+Q70</f>
        <v>#REF!</v>
      </c>
      <c r="R71" s="127" t="e">
        <f t="shared" ref="R71" si="107">R61+R70</f>
        <v>#REF!</v>
      </c>
      <c r="S71" s="127" t="e">
        <f t="shared" ref="S71" si="108">S61+S70</f>
        <v>#REF!</v>
      </c>
      <c r="T71" s="127" t="e">
        <f t="shared" ref="T71" si="109">T61+T70</f>
        <v>#REF!</v>
      </c>
      <c r="U71" s="127" t="e">
        <f t="shared" ref="U71" si="110">U61+U70</f>
        <v>#REF!</v>
      </c>
      <c r="V71" s="127" t="e">
        <f t="shared" ref="V71" si="111">V61+V70</f>
        <v>#REF!</v>
      </c>
      <c r="W71" s="127" t="e">
        <f t="shared" ref="W71" si="112">W61+W70</f>
        <v>#REF!</v>
      </c>
      <c r="X71" s="127" t="e">
        <f t="shared" ref="X71" si="113">X61+X70</f>
        <v>#REF!</v>
      </c>
      <c r="Y71" s="127" t="e">
        <f t="shared" ref="Y71" si="114">Y61+Y70</f>
        <v>#REF!</v>
      </c>
      <c r="Z71" s="127" t="e">
        <f t="shared" ref="Z71" si="115">Z61+Z70</f>
        <v>#REF!</v>
      </c>
      <c r="AA71" s="127" t="e">
        <f t="shared" ref="AA71" si="116">AA61+AA70</f>
        <v>#REF!</v>
      </c>
      <c r="AB71" s="127" t="e">
        <f t="shared" ref="AB71" si="117">AB61+AB70</f>
        <v>#REF!</v>
      </c>
      <c r="AC71" s="127" t="e">
        <f t="shared" ref="AC71" si="118">AC61+AC70</f>
        <v>#REF!</v>
      </c>
      <c r="AD71" s="127" t="e">
        <f t="shared" ref="AD71" si="119">AD61+AD70</f>
        <v>#REF!</v>
      </c>
      <c r="AE71" s="127" t="e">
        <f t="shared" ref="AE71" si="120">AE61+AE70</f>
        <v>#REF!</v>
      </c>
      <c r="AF71" s="127" t="e">
        <f t="shared" ref="AF71" si="121">AF61+AF70</f>
        <v>#REF!</v>
      </c>
      <c r="AG71" s="127" t="e">
        <f t="shared" ref="AG71" si="122">AG61+AG70</f>
        <v>#REF!</v>
      </c>
      <c r="AH71" s="127" t="e">
        <f t="shared" ref="AH71" si="123">AH61+AH70</f>
        <v>#REF!</v>
      </c>
      <c r="AI71" s="127" t="e">
        <f t="shared" ref="AI71" si="124">AI61+AI70</f>
        <v>#REF!</v>
      </c>
      <c r="AJ71" s="127" t="e">
        <f t="shared" ref="AJ71" si="125">AJ61+AJ70</f>
        <v>#REF!</v>
      </c>
      <c r="AK71" s="127" t="e">
        <f t="shared" ref="AK71" si="126">AK61+AK70</f>
        <v>#REF!</v>
      </c>
      <c r="AL71" s="127" t="e">
        <f t="shared" ref="AL71" si="127">AL61+AL70</f>
        <v>#REF!</v>
      </c>
      <c r="AM71" s="127" t="e">
        <f t="shared" ref="AM71" si="128">AM61+AM70</f>
        <v>#REF!</v>
      </c>
      <c r="AN71" s="127" t="e">
        <f t="shared" ref="AN71" si="129">AN61+AN70</f>
        <v>#REF!</v>
      </c>
      <c r="AO71" s="127" t="e">
        <f t="shared" ref="AO71" si="130">AO61+AO70</f>
        <v>#REF!</v>
      </c>
      <c r="AP71" s="127" t="e">
        <f t="shared" ref="AP71" si="131">AP61+AP70</f>
        <v>#REF!</v>
      </c>
      <c r="AQ71" s="127" t="e">
        <f t="shared" ref="AQ71" si="132">AQ61+AQ70</f>
        <v>#REF!</v>
      </c>
      <c r="AR71" s="127" t="e">
        <f t="shared" ref="AR71" si="133">AR61+AR70</f>
        <v>#REF!</v>
      </c>
      <c r="AS71" s="127" t="e">
        <f t="shared" ref="AS71" si="134">AS61+AS70</f>
        <v>#REF!</v>
      </c>
      <c r="AT71" s="127" t="e">
        <f t="shared" ref="AT71" si="135">AT61+AT70</f>
        <v>#REF!</v>
      </c>
      <c r="AU71" s="127" t="e">
        <f t="shared" ref="AU71" si="136">AU61+AU70</f>
        <v>#REF!</v>
      </c>
      <c r="AV71" s="127" t="e">
        <f t="shared" ref="AV71" si="137">AV61+AV70</f>
        <v>#REF!</v>
      </c>
      <c r="AW71" s="127" t="e">
        <f t="shared" ref="AW71" si="138">AW61+AW70</f>
        <v>#REF!</v>
      </c>
      <c r="AX71" s="127" t="e">
        <f t="shared" ref="AX71" si="139">AX61+AX70</f>
        <v>#REF!</v>
      </c>
      <c r="AY71" s="127" t="e">
        <f t="shared" ref="AY71" si="140">AY61+AY70</f>
        <v>#REF!</v>
      </c>
      <c r="AZ71" s="127" t="e">
        <f t="shared" ref="AZ71" si="141">AZ61+AZ70</f>
        <v>#REF!</v>
      </c>
      <c r="BA71" s="127" t="e">
        <f t="shared" ref="BA71" si="142">BA61+BA70</f>
        <v>#REF!</v>
      </c>
    </row>
    <row r="72" s="104" customFormat="1" ht="14.25" spans="1:53">
      <c r="A72" s="117"/>
      <c r="B72" s="118" t="str">
        <f>'18年合同登记表'!F85</f>
        <v>汇金中心</v>
      </c>
      <c r="C72" s="119" t="str">
        <f>'18年合同登记表'!H85</f>
        <v>NHY-20180507-X-01-01-045</v>
      </c>
      <c r="D72" s="119" t="str">
        <f>'18年合同登记表'!I85</f>
        <v>直燃机年度维保</v>
      </c>
      <c r="E72" s="120" t="str">
        <f>'18年合同登记表'!L85</f>
        <v>王东</v>
      </c>
      <c r="F72" s="121">
        <f>客服部最终提成计算表!$X74*0.15*0.8*0.85*'18年合同登记表'!T85/'18年合同登记表'!$M85</f>
        <v>589.05</v>
      </c>
      <c r="G72" s="122">
        <f>客服部最终提成计算表!$X74*0.15*0.8*0.08*'18年合同登记表'!T85/'18年合同登记表'!$M85</f>
        <v>55.44</v>
      </c>
      <c r="H72" s="122">
        <f>客服部最终提成计算表!$X74*0.15*0.8*0.05*'18年合同登记表'!T85/'18年合同登记表'!$M85</f>
        <v>34.65</v>
      </c>
      <c r="I72" s="122">
        <f>客服部最终提成计算表!$X74*0.15*0.8*0.02*'18年合同登记表'!T85/'18年合同登记表'!$M85</f>
        <v>13.86</v>
      </c>
      <c r="J72" s="122">
        <f>客服部最终提成计算表!$X74*0.15*0.8*0.85*'18年合同登记表'!V85/'18年合同登记表'!$M85</f>
        <v>0</v>
      </c>
      <c r="K72" s="122">
        <f>客服部最终提成计算表!$X74*0.15*0.8*0.08*'18年合同登记表'!V85/'18年合同登记表'!$M85</f>
        <v>0</v>
      </c>
      <c r="L72" s="122">
        <f>客服部最终提成计算表!$X74*0.15*0.8*0.05*'18年合同登记表'!V85/'18年合同登记表'!$M85</f>
        <v>0</v>
      </c>
      <c r="M72" s="122">
        <f>客服部最终提成计算表!$X74*0.15*0.8*0.02*'18年合同登记表'!V85/'18年合同登记表'!$M85</f>
        <v>0</v>
      </c>
      <c r="N72" s="122">
        <f>客服部最终提成计算表!$X74*0.15*0.8*0.85*'18年合同登记表'!X85/'18年合同登记表'!$M85</f>
        <v>0</v>
      </c>
      <c r="O72" s="122">
        <f>客服部最终提成计算表!$X74*0.15*0.8*0.08*'18年合同登记表'!X85/'18年合同登记表'!$M85</f>
        <v>0</v>
      </c>
      <c r="P72" s="122">
        <f>客服部最终提成计算表!$X74*0.15*0.8*0.05*'18年合同登记表'!X85/'18年合同登记表'!$M85</f>
        <v>0</v>
      </c>
      <c r="Q72" s="122">
        <f>客服部最终提成计算表!$X74*0.15*0.8*0.02*'18年合同登记表'!X85/'18年合同登记表'!$M85</f>
        <v>0</v>
      </c>
      <c r="R72" s="122">
        <f>客服部最终提成计算表!$X74*0.15*0.8*0.85*'18年合同登记表'!Z85/'18年合同登记表'!$M85</f>
        <v>0</v>
      </c>
      <c r="S72" s="122">
        <f>客服部最终提成计算表!$X74*0.15*0.8*0.08*'18年合同登记表'!Z85/'18年合同登记表'!$M85</f>
        <v>0</v>
      </c>
      <c r="T72" s="122">
        <f>客服部最终提成计算表!$X74*0.15*0.8*0.05*'18年合同登记表'!Z85/'18年合同登记表'!$M85</f>
        <v>0</v>
      </c>
      <c r="U72" s="122">
        <f>客服部最终提成计算表!$X74*0.15*0.8*0.02*'18年合同登记表'!Z85/'18年合同登记表'!$M85</f>
        <v>0</v>
      </c>
      <c r="V72" s="122">
        <f>客服部最终提成计算表!$X74*0.15*0.8*0.85*'18年合同登记表'!AB85/'18年合同登记表'!$M85</f>
        <v>0</v>
      </c>
      <c r="W72" s="122">
        <f>客服部最终提成计算表!$X74*0.15*0.8*0.08*'18年合同登记表'!AB85/'18年合同登记表'!$M85</f>
        <v>0</v>
      </c>
      <c r="X72" s="122">
        <f>客服部最终提成计算表!$X74*0.15*0.8*0.05*'18年合同登记表'!AB85/'18年合同登记表'!$M85</f>
        <v>0</v>
      </c>
      <c r="Y72" s="122">
        <f>客服部最终提成计算表!$X74*0.15*0.8*0.02*'18年合同登记表'!AB85/'18年合同登记表'!$M85</f>
        <v>0</v>
      </c>
      <c r="Z72" s="122">
        <f>客服部最终提成计算表!$X74*0.15*0.8*0.85*'18年合同登记表'!AD85/'18年合同登记表'!$M85</f>
        <v>0</v>
      </c>
      <c r="AA72" s="122">
        <f>客服部最终提成计算表!$X74*0.15*0.8*0.08*'18年合同登记表'!AD85/'18年合同登记表'!$M85</f>
        <v>0</v>
      </c>
      <c r="AB72" s="122">
        <f>客服部最终提成计算表!$X74*0.15*0.8*0.05*'18年合同登记表'!AD85/'18年合同登记表'!$M85</f>
        <v>0</v>
      </c>
      <c r="AC72" s="122">
        <f>客服部最终提成计算表!$X74*0.15*0.8*0.02*'18年合同登记表'!AD85/'18年合同登记表'!$M85</f>
        <v>0</v>
      </c>
      <c r="AD72" s="122">
        <f>客服部最终提成计算表!$X74*0.15*0.8*0.85*'18年合同登记表'!AF85/'18年合同登记表'!$M85</f>
        <v>0</v>
      </c>
      <c r="AE72" s="122">
        <f>客服部最终提成计算表!$X74*0.15*0.8*0.08*'18年合同登记表'!AF85/'18年合同登记表'!$M85</f>
        <v>0</v>
      </c>
      <c r="AF72" s="122">
        <f>客服部最终提成计算表!$X74*0.15*0.8*0.05*'18年合同登记表'!AF85/'18年合同登记表'!$M85</f>
        <v>0</v>
      </c>
      <c r="AG72" s="122">
        <f>客服部最终提成计算表!$X74*0.15*0.8*0.02*'18年合同登记表'!AF85/'18年合同登记表'!$M85</f>
        <v>0</v>
      </c>
      <c r="AH72" s="122">
        <f>客服部最终提成计算表!$X74*0.15*0.8*0.85*'18年合同登记表'!AH85/'18年合同登记表'!$M85</f>
        <v>1374.45</v>
      </c>
      <c r="AI72" s="122">
        <f>客服部最终提成计算表!$X74*0.15*0.8*0.08*'18年合同登记表'!AH85/'18年合同登记表'!$M85</f>
        <v>129.36</v>
      </c>
      <c r="AJ72" s="122">
        <f>客服部最终提成计算表!$X74*0.15*0.8*0.05*'18年合同登记表'!AH85/'18年合同登记表'!$M85</f>
        <v>80.85</v>
      </c>
      <c r="AK72" s="122">
        <f>客服部最终提成计算表!$X74*0.15*0.8*0.02*'18年合同登记表'!AH85/'18年合同登记表'!$M85</f>
        <v>32.34</v>
      </c>
      <c r="AL72" s="122">
        <f>客服部最终提成计算表!$X74*0.15*0.8*0.85*'18年合同登记表'!AJ85/'18年合同登记表'!$M85</f>
        <v>0</v>
      </c>
      <c r="AM72" s="122">
        <f>客服部最终提成计算表!$X74*0.15*0.8*0.08*'18年合同登记表'!AJ85/'18年合同登记表'!$M85</f>
        <v>0</v>
      </c>
      <c r="AN72" s="122">
        <f>客服部最终提成计算表!$X74*0.15*0.8*0.05*'18年合同登记表'!AJ85/'18年合同登记表'!$M85</f>
        <v>0</v>
      </c>
      <c r="AO72" s="122">
        <f>客服部最终提成计算表!$X74*0.15*0.8*0.02*'18年合同登记表'!AJ85/'18年合同登记表'!$M85</f>
        <v>0</v>
      </c>
      <c r="AP72" s="122">
        <f>客服部最终提成计算表!$X74*0.15*0.8*0.85*'18年合同登记表'!AL85/'18年合同登记表'!$M85</f>
        <v>0</v>
      </c>
      <c r="AQ72" s="122">
        <f>客服部最终提成计算表!$X74*0.15*0.8*0.08*'18年合同登记表'!AL85/'18年合同登记表'!$M85</f>
        <v>0</v>
      </c>
      <c r="AR72" s="122">
        <f>客服部最终提成计算表!$X74*0.15*0.8*0.05*'18年合同登记表'!AL85/'18年合同登记表'!$M85</f>
        <v>0</v>
      </c>
      <c r="AS72" s="122">
        <f>客服部最终提成计算表!$X74*0.15*0.8*0.02*'18年合同登记表'!AL85/'18年合同登记表'!$M85</f>
        <v>0</v>
      </c>
      <c r="AT72" s="122">
        <f>客服部最终提成计算表!$X74*0.15*0.8*0.85*'18年合同登记表'!AN85/'18年合同登记表'!$M85</f>
        <v>0</v>
      </c>
      <c r="AU72" s="122">
        <f>客服部最终提成计算表!$X74*0.15*0.8*0.08*'18年合同登记表'!AN85/'18年合同登记表'!$M85</f>
        <v>0</v>
      </c>
      <c r="AV72" s="122">
        <f>客服部最终提成计算表!$X74*0.15*0.8*0.05*'18年合同登记表'!AN85/'18年合同登记表'!$M85</f>
        <v>0</v>
      </c>
      <c r="AW72" s="122">
        <f>客服部最终提成计算表!$X74*0.15*0.8*0.02*'18年合同登记表'!AN85/'18年合同登记表'!$M85</f>
        <v>0</v>
      </c>
      <c r="AX72" s="122">
        <f>客服部最终提成计算表!$X74*0.15*0.8*0.85*'18年合同登记表'!AP85/'18年合同登记表'!$M85</f>
        <v>0</v>
      </c>
      <c r="AY72" s="122">
        <f>客服部最终提成计算表!$X74*0.15*0.8*0.08*'18年合同登记表'!AP85/'18年合同登记表'!$M85</f>
        <v>0</v>
      </c>
      <c r="AZ72" s="122">
        <f>客服部最终提成计算表!$X74*0.15*0.8*0.05*'18年合同登记表'!AP85/'18年合同登记表'!$M85</f>
        <v>0</v>
      </c>
      <c r="BA72" s="131">
        <f>客服部最终提成计算表!$X74*0.15*0.8*0.02*'18年合同登记表'!AP85/'18年合同登记表'!$M85</f>
        <v>0</v>
      </c>
    </row>
    <row r="73" s="104" customFormat="1" ht="14.25" spans="1:53">
      <c r="A73" s="117"/>
      <c r="B73" s="118" t="str">
        <f>'18年合同登记表'!F86</f>
        <v>玉泉营古文化广场</v>
      </c>
      <c r="C73" s="119" t="str">
        <f>'18年合同登记表'!H86</f>
        <v>NHY-20180512-L-01-01-030</v>
      </c>
      <c r="D73" s="119" t="str">
        <f>'18年合同登记表'!I86</f>
        <v>中央空调冷却水处理合同</v>
      </c>
      <c r="E73" s="120" t="str">
        <f>'18年合同登记表'!L86</f>
        <v>陈勇</v>
      </c>
      <c r="F73" s="121">
        <f>客服部最终提成计算表!$X75*0.15*0.8*0.85*'18年合同登记表'!T86/'18年合同登记表'!$M86</f>
        <v>0</v>
      </c>
      <c r="G73" s="122">
        <f>客服部最终提成计算表!$X75*0.15*0.8*0.08*'18年合同登记表'!T86/'18年合同登记表'!$M86</f>
        <v>0</v>
      </c>
      <c r="H73" s="122">
        <f>客服部最终提成计算表!$X75*0.15*0.8*0.05*'18年合同登记表'!T86/'18年合同登记表'!$M86</f>
        <v>0</v>
      </c>
      <c r="I73" s="122">
        <f>客服部最终提成计算表!$X75*0.15*0.8*0.02*'18年合同登记表'!T86/'18年合同登记表'!$M86</f>
        <v>0</v>
      </c>
      <c r="J73" s="122">
        <f>客服部最终提成计算表!$X75*0.15*0.8*0.85*'18年合同登记表'!V86/'18年合同登记表'!$M86</f>
        <v>0</v>
      </c>
      <c r="K73" s="122">
        <f>客服部最终提成计算表!$X75*0.15*0.8*0.08*'18年合同登记表'!V86/'18年合同登记表'!$M86</f>
        <v>0</v>
      </c>
      <c r="L73" s="122">
        <f>客服部最终提成计算表!$X75*0.15*0.8*0.05*'18年合同登记表'!V86/'18年合同登记表'!$M86</f>
        <v>0</v>
      </c>
      <c r="M73" s="122">
        <f>客服部最终提成计算表!$X75*0.15*0.8*0.02*'18年合同登记表'!V86/'18年合同登记表'!$M86</f>
        <v>0</v>
      </c>
      <c r="N73" s="122">
        <f>客服部最终提成计算表!$X75*0.15*0.8*0.85*'18年合同登记表'!X86/'18年合同登记表'!$M86</f>
        <v>0</v>
      </c>
      <c r="O73" s="122">
        <f>客服部最终提成计算表!$X75*0.15*0.8*0.08*'18年合同登记表'!X86/'18年合同登记表'!$M86</f>
        <v>0</v>
      </c>
      <c r="P73" s="122">
        <f>客服部最终提成计算表!$X75*0.15*0.8*0.05*'18年合同登记表'!X86/'18年合同登记表'!$M86</f>
        <v>0</v>
      </c>
      <c r="Q73" s="122">
        <f>客服部最终提成计算表!$X75*0.15*0.8*0.02*'18年合同登记表'!X86/'18年合同登记表'!$M86</f>
        <v>0</v>
      </c>
      <c r="R73" s="122">
        <f>客服部最终提成计算表!$X75*0.15*0.8*0.85*'18年合同登记表'!Z86/'18年合同登记表'!$M86</f>
        <v>0</v>
      </c>
      <c r="S73" s="122">
        <f>客服部最终提成计算表!$X75*0.15*0.8*0.08*'18年合同登记表'!Z86/'18年合同登记表'!$M86</f>
        <v>0</v>
      </c>
      <c r="T73" s="122">
        <f>客服部最终提成计算表!$X75*0.15*0.8*0.05*'18年合同登记表'!Z86/'18年合同登记表'!$M86</f>
        <v>0</v>
      </c>
      <c r="U73" s="122">
        <f>客服部最终提成计算表!$X75*0.15*0.8*0.02*'18年合同登记表'!Z86/'18年合同登记表'!$M86</f>
        <v>0</v>
      </c>
      <c r="V73" s="122">
        <f>客服部最终提成计算表!$X75*0.15*0.8*0.85*'18年合同登记表'!AB86/'18年合同登记表'!$M86</f>
        <v>0</v>
      </c>
      <c r="W73" s="122">
        <f>客服部最终提成计算表!$X75*0.15*0.8*0.08*'18年合同登记表'!AB86/'18年合同登记表'!$M86</f>
        <v>0</v>
      </c>
      <c r="X73" s="122">
        <f>客服部最终提成计算表!$X75*0.15*0.8*0.05*'18年合同登记表'!AB86/'18年合同登记表'!$M86</f>
        <v>0</v>
      </c>
      <c r="Y73" s="122">
        <f>客服部最终提成计算表!$X75*0.15*0.8*0.02*'18年合同登记表'!AB86/'18年合同登记表'!$M86</f>
        <v>0</v>
      </c>
      <c r="Z73" s="122">
        <f>客服部最终提成计算表!$X75*0.15*0.8*0.85*'18年合同登记表'!AD86/'18年合同登记表'!$M86</f>
        <v>0</v>
      </c>
      <c r="AA73" s="122">
        <f>客服部最终提成计算表!$X75*0.15*0.8*0.08*'18年合同登记表'!AD86/'18年合同登记表'!$M86</f>
        <v>0</v>
      </c>
      <c r="AB73" s="122">
        <f>客服部最终提成计算表!$X75*0.15*0.8*0.05*'18年合同登记表'!AD86/'18年合同登记表'!$M86</f>
        <v>0</v>
      </c>
      <c r="AC73" s="122">
        <f>客服部最终提成计算表!$X75*0.15*0.8*0.02*'18年合同登记表'!AD86/'18年合同登记表'!$M86</f>
        <v>0</v>
      </c>
      <c r="AD73" s="122">
        <f>客服部最终提成计算表!$X75*0.15*0.8*0.85*'18年合同登记表'!AF86/'18年合同登记表'!$M86</f>
        <v>0</v>
      </c>
      <c r="AE73" s="122">
        <f>客服部最终提成计算表!$X75*0.15*0.8*0.08*'18年合同登记表'!AF86/'18年合同登记表'!$M86</f>
        <v>0</v>
      </c>
      <c r="AF73" s="122">
        <f>客服部最终提成计算表!$X75*0.15*0.8*0.05*'18年合同登记表'!AF86/'18年合同登记表'!$M86</f>
        <v>0</v>
      </c>
      <c r="AG73" s="122">
        <f>客服部最终提成计算表!$X75*0.15*0.8*0.02*'18年合同登记表'!AF86/'18年合同登记表'!$M86</f>
        <v>0</v>
      </c>
      <c r="AH73" s="122">
        <f>客服部最终提成计算表!$X75*0.15*0.8*0.85*'18年合同登记表'!AH86/'18年合同登记表'!$M86</f>
        <v>714</v>
      </c>
      <c r="AI73" s="122">
        <f>客服部最终提成计算表!$X75*0.15*0.8*0.08*'18年合同登记表'!AH86/'18年合同登记表'!$M86</f>
        <v>67.2</v>
      </c>
      <c r="AJ73" s="122">
        <f>客服部最终提成计算表!$X75*0.15*0.8*0.05*'18年合同登记表'!AH86/'18年合同登记表'!$M86</f>
        <v>42</v>
      </c>
      <c r="AK73" s="122">
        <f>客服部最终提成计算表!$X75*0.15*0.8*0.02*'18年合同登记表'!AH86/'18年合同登记表'!$M86</f>
        <v>16.8</v>
      </c>
      <c r="AL73" s="122">
        <f>客服部最终提成计算表!$X75*0.15*0.8*0.85*'18年合同登记表'!AJ86/'18年合同登记表'!$M86</f>
        <v>0</v>
      </c>
      <c r="AM73" s="122">
        <f>客服部最终提成计算表!$X75*0.15*0.8*0.08*'18年合同登记表'!AJ86/'18年合同登记表'!$M86</f>
        <v>0</v>
      </c>
      <c r="AN73" s="122">
        <f>客服部最终提成计算表!$X75*0.15*0.8*0.05*'18年合同登记表'!AJ86/'18年合同登记表'!$M86</f>
        <v>0</v>
      </c>
      <c r="AO73" s="122">
        <f>客服部最终提成计算表!$X75*0.15*0.8*0.02*'18年合同登记表'!AJ86/'18年合同登记表'!$M86</f>
        <v>0</v>
      </c>
      <c r="AP73" s="122">
        <f>客服部最终提成计算表!$X75*0.15*0.8*0.85*'18年合同登记表'!AL86/'18年合同登记表'!$M86</f>
        <v>0</v>
      </c>
      <c r="AQ73" s="122">
        <f>客服部最终提成计算表!$X75*0.15*0.8*0.08*'18年合同登记表'!AL86/'18年合同登记表'!$M86</f>
        <v>0</v>
      </c>
      <c r="AR73" s="122">
        <f>客服部最终提成计算表!$X75*0.15*0.8*0.05*'18年合同登记表'!AL86/'18年合同登记表'!$M86</f>
        <v>0</v>
      </c>
      <c r="AS73" s="122">
        <f>客服部最终提成计算表!$X75*0.15*0.8*0.02*'18年合同登记表'!AL86/'18年合同登记表'!$M86</f>
        <v>0</v>
      </c>
      <c r="AT73" s="122">
        <f>客服部最终提成计算表!$X75*0.15*0.8*0.85*'18年合同登记表'!AN86/'18年合同登记表'!$M86</f>
        <v>714</v>
      </c>
      <c r="AU73" s="122">
        <f>客服部最终提成计算表!$X75*0.15*0.8*0.08*'18年合同登记表'!AN86/'18年合同登记表'!$M86</f>
        <v>67.2</v>
      </c>
      <c r="AV73" s="122">
        <f>客服部最终提成计算表!$X75*0.15*0.8*0.05*'18年合同登记表'!AN86/'18年合同登记表'!$M86</f>
        <v>42</v>
      </c>
      <c r="AW73" s="122">
        <f>客服部最终提成计算表!$X75*0.15*0.8*0.02*'18年合同登记表'!AN86/'18年合同登记表'!$M86</f>
        <v>16.8</v>
      </c>
      <c r="AX73" s="122">
        <f>客服部最终提成计算表!$X75*0.15*0.8*0.85*'18年合同登记表'!AP86/'18年合同登记表'!$M86</f>
        <v>0</v>
      </c>
      <c r="AY73" s="122">
        <f>客服部最终提成计算表!$X75*0.15*0.8*0.08*'18年合同登记表'!AP86/'18年合同登记表'!$M86</f>
        <v>0</v>
      </c>
      <c r="AZ73" s="122">
        <f>客服部最终提成计算表!$X75*0.15*0.8*0.05*'18年合同登记表'!AP86/'18年合同登记表'!$M86</f>
        <v>0</v>
      </c>
      <c r="BA73" s="131">
        <f>客服部最终提成计算表!$X75*0.15*0.8*0.02*'18年合同登记表'!AP86/'18年合同登记表'!$M86</f>
        <v>0</v>
      </c>
    </row>
    <row r="74" s="104" customFormat="1" ht="14.25" spans="1:53">
      <c r="A74" s="117"/>
      <c r="B74" s="118" t="str">
        <f>'18年合同登记表'!F87</f>
        <v>东亿传媒</v>
      </c>
      <c r="C74" s="119" t="str">
        <f>'18年合同登记表'!H87</f>
        <v>NHY-20180404-L-01-01-030</v>
      </c>
      <c r="D74" s="119" t="str">
        <f>'18年合同登记表'!I87</f>
        <v>直燃机、锅炉化学清洗预膜服务合同</v>
      </c>
      <c r="E74" s="120" t="str">
        <f>'18年合同登记表'!L87</f>
        <v>陈勇</v>
      </c>
      <c r="F74" s="121">
        <f>客服部最终提成计算表!$X76*0.15*0.8*0.85*'18年合同登记表'!T87/'18年合同登记表'!$M87</f>
        <v>0</v>
      </c>
      <c r="G74" s="122">
        <f>客服部最终提成计算表!$X76*0.15*0.8*0.08*'18年合同登记表'!T87/'18年合同登记表'!$M87</f>
        <v>0</v>
      </c>
      <c r="H74" s="122">
        <f>客服部最终提成计算表!$X76*0.15*0.8*0.05*'18年合同登记表'!T87/'18年合同登记表'!$M87</f>
        <v>0</v>
      </c>
      <c r="I74" s="122">
        <f>客服部最终提成计算表!$X76*0.15*0.8*0.02*'18年合同登记表'!T87/'18年合同登记表'!$M87</f>
        <v>0</v>
      </c>
      <c r="J74" s="122">
        <f>客服部最终提成计算表!$X76*0.15*0.8*0.85*'18年合同登记表'!V87/'18年合同登记表'!$M87</f>
        <v>0</v>
      </c>
      <c r="K74" s="122">
        <f>客服部最终提成计算表!$X76*0.15*0.8*0.08*'18年合同登记表'!V87/'18年合同登记表'!$M87</f>
        <v>0</v>
      </c>
      <c r="L74" s="122">
        <f>客服部最终提成计算表!$X76*0.15*0.8*0.05*'18年合同登记表'!V87/'18年合同登记表'!$M87</f>
        <v>0</v>
      </c>
      <c r="M74" s="122">
        <f>客服部最终提成计算表!$X76*0.15*0.8*0.02*'18年合同登记表'!V87/'18年合同登记表'!$M87</f>
        <v>0</v>
      </c>
      <c r="N74" s="122">
        <f>客服部最终提成计算表!$X76*0.15*0.8*0.85*'18年合同登记表'!X87/'18年合同登记表'!$M87</f>
        <v>0</v>
      </c>
      <c r="O74" s="122">
        <f>客服部最终提成计算表!$X76*0.15*0.8*0.08*'18年合同登记表'!X87/'18年合同登记表'!$M87</f>
        <v>0</v>
      </c>
      <c r="P74" s="122">
        <f>客服部最终提成计算表!$X76*0.15*0.8*0.05*'18年合同登记表'!X87/'18年合同登记表'!$M87</f>
        <v>0</v>
      </c>
      <c r="Q74" s="122">
        <f>客服部最终提成计算表!$X76*0.15*0.8*0.02*'18年合同登记表'!X87/'18年合同登记表'!$M87</f>
        <v>0</v>
      </c>
      <c r="R74" s="122">
        <f>客服部最终提成计算表!$X76*0.15*0.8*0.85*'18年合同登记表'!Z87/'18年合同登记表'!$M87</f>
        <v>0</v>
      </c>
      <c r="S74" s="122">
        <f>客服部最终提成计算表!$X76*0.15*0.8*0.08*'18年合同登记表'!Z87/'18年合同登记表'!$M87</f>
        <v>0</v>
      </c>
      <c r="T74" s="122">
        <f>客服部最终提成计算表!$X76*0.15*0.8*0.05*'18年合同登记表'!Z87/'18年合同登记表'!$M87</f>
        <v>0</v>
      </c>
      <c r="U74" s="122">
        <f>客服部最终提成计算表!$X76*0.15*0.8*0.02*'18年合同登记表'!Z87/'18年合同登记表'!$M87</f>
        <v>0</v>
      </c>
      <c r="V74" s="122">
        <f>客服部最终提成计算表!$X76*0.15*0.8*0.85*'18年合同登记表'!AB87/'18年合同登记表'!$M87</f>
        <v>0</v>
      </c>
      <c r="W74" s="122">
        <f>客服部最终提成计算表!$X76*0.15*0.8*0.08*'18年合同登记表'!AB87/'18年合同登记表'!$M87</f>
        <v>0</v>
      </c>
      <c r="X74" s="122">
        <f>客服部最终提成计算表!$X76*0.15*0.8*0.05*'18年合同登记表'!AB87/'18年合同登记表'!$M87</f>
        <v>0</v>
      </c>
      <c r="Y74" s="122">
        <f>客服部最终提成计算表!$X76*0.15*0.8*0.02*'18年合同登记表'!AB87/'18年合同登记表'!$M87</f>
        <v>0</v>
      </c>
      <c r="Z74" s="122">
        <f>客服部最终提成计算表!$X76*0.15*0.8*0.85*'18年合同登记表'!AD87/'18年合同登记表'!$M87</f>
        <v>0</v>
      </c>
      <c r="AA74" s="122">
        <f>客服部最终提成计算表!$X76*0.15*0.8*0.08*'18年合同登记表'!AD87/'18年合同登记表'!$M87</f>
        <v>0</v>
      </c>
      <c r="AB74" s="122">
        <f>客服部最终提成计算表!$X76*0.15*0.8*0.05*'18年合同登记表'!AD87/'18年合同登记表'!$M87</f>
        <v>0</v>
      </c>
      <c r="AC74" s="122">
        <f>客服部最终提成计算表!$X76*0.15*0.8*0.02*'18年合同登记表'!AD87/'18年合同登记表'!$M87</f>
        <v>0</v>
      </c>
      <c r="AD74" s="122">
        <f>客服部最终提成计算表!$X76*0.15*0.8*0.85*'18年合同登记表'!AF87/'18年合同登记表'!$M87</f>
        <v>4253.4</v>
      </c>
      <c r="AE74" s="122">
        <f>客服部最终提成计算表!$X76*0.15*0.8*0.08*'18年合同登记表'!AF87/'18年合同登记表'!$M87</f>
        <v>400.32</v>
      </c>
      <c r="AF74" s="122">
        <f>客服部最终提成计算表!$X76*0.15*0.8*0.05*'18年合同登记表'!AF87/'18年合同登记表'!$M87</f>
        <v>250.2</v>
      </c>
      <c r="AG74" s="122">
        <f>客服部最终提成计算表!$X76*0.15*0.8*0.02*'18年合同登记表'!AF87/'18年合同登记表'!$M87</f>
        <v>100.08</v>
      </c>
      <c r="AH74" s="122">
        <f>客服部最终提成计算表!$X76*0.15*0.8*0.85*'18年合同登记表'!AH87/'18年合同登记表'!$M87</f>
        <v>0</v>
      </c>
      <c r="AI74" s="122">
        <f>客服部最终提成计算表!$X76*0.15*0.8*0.08*'18年合同登记表'!AH87/'18年合同登记表'!$M87</f>
        <v>0</v>
      </c>
      <c r="AJ74" s="122">
        <f>客服部最终提成计算表!$X76*0.15*0.8*0.05*'18年合同登记表'!AH87/'18年合同登记表'!$M87</f>
        <v>0</v>
      </c>
      <c r="AK74" s="122">
        <f>客服部最终提成计算表!$X76*0.15*0.8*0.02*'18年合同登记表'!AH87/'18年合同登记表'!$M87</f>
        <v>0</v>
      </c>
      <c r="AL74" s="122">
        <f>客服部最终提成计算表!$X76*0.15*0.8*0.85*'18年合同登记表'!AJ87/'18年合同登记表'!$M87</f>
        <v>0</v>
      </c>
      <c r="AM74" s="122">
        <f>客服部最终提成计算表!$X76*0.15*0.8*0.08*'18年合同登记表'!AJ87/'18年合同登记表'!$M87</f>
        <v>0</v>
      </c>
      <c r="AN74" s="122">
        <f>客服部最终提成计算表!$X76*0.15*0.8*0.05*'18年合同登记表'!AJ87/'18年合同登记表'!$M87</f>
        <v>0</v>
      </c>
      <c r="AO74" s="122">
        <f>客服部最终提成计算表!$X76*0.15*0.8*0.02*'18年合同登记表'!AJ87/'18年合同登记表'!$M87</f>
        <v>0</v>
      </c>
      <c r="AP74" s="122">
        <f>客服部最终提成计算表!$X76*0.15*0.8*0.85*'18年合同登记表'!AL87/'18年合同登记表'!$M87</f>
        <v>0</v>
      </c>
      <c r="AQ74" s="122">
        <f>客服部最终提成计算表!$X76*0.15*0.8*0.08*'18年合同登记表'!AL87/'18年合同登记表'!$M87</f>
        <v>0</v>
      </c>
      <c r="AR74" s="122">
        <f>客服部最终提成计算表!$X76*0.15*0.8*0.05*'18年合同登记表'!AL87/'18年合同登记表'!$M87</f>
        <v>0</v>
      </c>
      <c r="AS74" s="122">
        <f>客服部最终提成计算表!$X76*0.15*0.8*0.02*'18年合同登记表'!AL87/'18年合同登记表'!$M87</f>
        <v>0</v>
      </c>
      <c r="AT74" s="122">
        <f>客服部最终提成计算表!$X76*0.15*0.8*0.85*'18年合同登记表'!AN87/'18年合同登记表'!$M87</f>
        <v>0</v>
      </c>
      <c r="AU74" s="122">
        <f>客服部最终提成计算表!$X76*0.15*0.8*0.08*'18年合同登记表'!AN87/'18年合同登记表'!$M87</f>
        <v>0</v>
      </c>
      <c r="AV74" s="122">
        <f>客服部最终提成计算表!$X76*0.15*0.8*0.05*'18年合同登记表'!AN87/'18年合同登记表'!$M87</f>
        <v>0</v>
      </c>
      <c r="AW74" s="122">
        <f>客服部最终提成计算表!$X76*0.15*0.8*0.02*'18年合同登记表'!AN87/'18年合同登记表'!$M87</f>
        <v>0</v>
      </c>
      <c r="AX74" s="122">
        <f>客服部最终提成计算表!$X76*0.15*0.8*0.85*'18年合同登记表'!AP87/'18年合同登记表'!$M87</f>
        <v>0</v>
      </c>
      <c r="AY74" s="122">
        <f>客服部最终提成计算表!$X76*0.15*0.8*0.08*'18年合同登记表'!AP87/'18年合同登记表'!$M87</f>
        <v>0</v>
      </c>
      <c r="AZ74" s="122">
        <f>客服部最终提成计算表!$X76*0.15*0.8*0.05*'18年合同登记表'!AP87/'18年合同登记表'!$M87</f>
        <v>0</v>
      </c>
      <c r="BA74" s="131">
        <f>客服部最终提成计算表!$X76*0.15*0.8*0.02*'18年合同登记表'!AP87/'18年合同登记表'!$M87</f>
        <v>0</v>
      </c>
    </row>
    <row r="75" s="104" customFormat="1" ht="14.25" spans="1:53">
      <c r="A75" s="117"/>
      <c r="B75" s="118" t="str">
        <f>'18年合同登记表'!F88</f>
        <v>聚富宫</v>
      </c>
      <c r="C75" s="119" t="str">
        <f>'18年合同登记表'!H88</f>
        <v>NHY-20180604-L-01-01-049</v>
      </c>
      <c r="D75" s="119" t="str">
        <f>'18年合同登记表'!I88</f>
        <v>直燃机年度维保</v>
      </c>
      <c r="E75" s="120" t="str">
        <f>'18年合同登记表'!L88</f>
        <v>陈勇</v>
      </c>
      <c r="F75" s="121">
        <f>客服部最终提成计算表!$X77*0.15*0.8*0.85*'18年合同登记表'!T88/'18年合同登记表'!$M88</f>
        <v>0</v>
      </c>
      <c r="G75" s="122">
        <f>客服部最终提成计算表!$X77*0.15*0.8*0.08*'18年合同登记表'!T88/'18年合同登记表'!$M88</f>
        <v>0</v>
      </c>
      <c r="H75" s="122">
        <f>客服部最终提成计算表!$X77*0.15*0.8*0.05*'18年合同登记表'!T88/'18年合同登记表'!$M88</f>
        <v>0</v>
      </c>
      <c r="I75" s="122">
        <f>客服部最终提成计算表!$X77*0.15*0.8*0.02*'18年合同登记表'!T88/'18年合同登记表'!$M88</f>
        <v>0</v>
      </c>
      <c r="J75" s="122">
        <f>客服部最终提成计算表!$X77*0.15*0.8*0.85*'18年合同登记表'!V88/'18年合同登记表'!$M88</f>
        <v>0</v>
      </c>
      <c r="K75" s="122">
        <f>客服部最终提成计算表!$X77*0.15*0.8*0.08*'18年合同登记表'!V88/'18年合同登记表'!$M88</f>
        <v>0</v>
      </c>
      <c r="L75" s="122">
        <f>客服部最终提成计算表!$X77*0.15*0.8*0.05*'18年合同登记表'!V88/'18年合同登记表'!$M88</f>
        <v>0</v>
      </c>
      <c r="M75" s="122">
        <f>客服部最终提成计算表!$X77*0.15*0.8*0.02*'18年合同登记表'!V88/'18年合同登记表'!$M88</f>
        <v>0</v>
      </c>
      <c r="N75" s="122">
        <f>客服部最终提成计算表!$X77*0.15*0.8*0.85*'18年合同登记表'!X88/'18年合同登记表'!$M88</f>
        <v>0</v>
      </c>
      <c r="O75" s="122">
        <f>客服部最终提成计算表!$X77*0.15*0.8*0.08*'18年合同登记表'!X88/'18年合同登记表'!$M88</f>
        <v>0</v>
      </c>
      <c r="P75" s="122">
        <f>客服部最终提成计算表!$X77*0.15*0.8*0.05*'18年合同登记表'!X88/'18年合同登记表'!$M88</f>
        <v>0</v>
      </c>
      <c r="Q75" s="122">
        <f>客服部最终提成计算表!$X77*0.15*0.8*0.02*'18年合同登记表'!X88/'18年合同登记表'!$M88</f>
        <v>0</v>
      </c>
      <c r="R75" s="122">
        <f>客服部最终提成计算表!$X77*0.15*0.8*0.85*'18年合同登记表'!Z88/'18年合同登记表'!$M88</f>
        <v>0</v>
      </c>
      <c r="S75" s="122">
        <f>客服部最终提成计算表!$X77*0.15*0.8*0.08*'18年合同登记表'!Z88/'18年合同登记表'!$M88</f>
        <v>0</v>
      </c>
      <c r="T75" s="122">
        <f>客服部最终提成计算表!$X77*0.15*0.8*0.05*'18年合同登记表'!Z88/'18年合同登记表'!$M88</f>
        <v>0</v>
      </c>
      <c r="U75" s="122">
        <f>客服部最终提成计算表!$X77*0.15*0.8*0.02*'18年合同登记表'!Z88/'18年合同登记表'!$M88</f>
        <v>0</v>
      </c>
      <c r="V75" s="122">
        <f>客服部最终提成计算表!$X77*0.15*0.8*0.85*'18年合同登记表'!AB88/'18年合同登记表'!$M88</f>
        <v>0</v>
      </c>
      <c r="W75" s="122">
        <f>客服部最终提成计算表!$X77*0.15*0.8*0.08*'18年合同登记表'!AB88/'18年合同登记表'!$M88</f>
        <v>0</v>
      </c>
      <c r="X75" s="122">
        <f>客服部最终提成计算表!$X77*0.15*0.8*0.05*'18年合同登记表'!AB88/'18年合同登记表'!$M88</f>
        <v>0</v>
      </c>
      <c r="Y75" s="122">
        <f>客服部最终提成计算表!$X77*0.15*0.8*0.02*'18年合同登记表'!AB88/'18年合同登记表'!$M88</f>
        <v>0</v>
      </c>
      <c r="Z75" s="122">
        <f>客服部最终提成计算表!$X77*0.15*0.8*0.85*'18年合同登记表'!AD88/'18年合同登记表'!$M88</f>
        <v>652.8</v>
      </c>
      <c r="AA75" s="122">
        <f>客服部最终提成计算表!$X77*0.15*0.8*0.08*'18年合同登记表'!AD88/'18年合同登记表'!$M88</f>
        <v>61.44</v>
      </c>
      <c r="AB75" s="122">
        <f>客服部最终提成计算表!$X77*0.15*0.8*0.05*'18年合同登记表'!AD88/'18年合同登记表'!$M88</f>
        <v>38.4</v>
      </c>
      <c r="AC75" s="122">
        <f>客服部最终提成计算表!$X77*0.15*0.8*0.02*'18年合同登记表'!AD88/'18年合同登记表'!$M88</f>
        <v>15.36</v>
      </c>
      <c r="AD75" s="122">
        <f>客服部最终提成计算表!$X77*0.15*0.8*0.85*'18年合同登记表'!AF88/'18年合同登记表'!$M88</f>
        <v>0</v>
      </c>
      <c r="AE75" s="122">
        <f>客服部最终提成计算表!$X77*0.15*0.8*0.08*'18年合同登记表'!AF88/'18年合同登记表'!$M88</f>
        <v>0</v>
      </c>
      <c r="AF75" s="122">
        <f>客服部最终提成计算表!$X77*0.15*0.8*0.05*'18年合同登记表'!AF88/'18年合同登记表'!$M88</f>
        <v>0</v>
      </c>
      <c r="AG75" s="122">
        <f>客服部最终提成计算表!$X77*0.15*0.8*0.02*'18年合同登记表'!AF88/'18年合同登记表'!$M88</f>
        <v>0</v>
      </c>
      <c r="AH75" s="122">
        <f>客服部最终提成计算表!$X77*0.15*0.8*0.85*'18年合同登记表'!AH88/'18年合同登记表'!$M88</f>
        <v>0</v>
      </c>
      <c r="AI75" s="122">
        <f>客服部最终提成计算表!$X77*0.15*0.8*0.08*'18年合同登记表'!AH88/'18年合同登记表'!$M88</f>
        <v>0</v>
      </c>
      <c r="AJ75" s="122">
        <f>客服部最终提成计算表!$X77*0.15*0.8*0.05*'18年合同登记表'!AH88/'18年合同登记表'!$M88</f>
        <v>0</v>
      </c>
      <c r="AK75" s="122">
        <f>客服部最终提成计算表!$X77*0.15*0.8*0.02*'18年合同登记表'!AH88/'18年合同登记表'!$M88</f>
        <v>0</v>
      </c>
      <c r="AL75" s="122">
        <f>客服部最终提成计算表!$X77*0.15*0.8*0.85*'18年合同登记表'!AJ88/'18年合同登记表'!$M88</f>
        <v>0</v>
      </c>
      <c r="AM75" s="122">
        <f>客服部最终提成计算表!$X77*0.15*0.8*0.08*'18年合同登记表'!AJ88/'18年合同登记表'!$M88</f>
        <v>0</v>
      </c>
      <c r="AN75" s="122">
        <f>客服部最终提成计算表!$X77*0.15*0.8*0.05*'18年合同登记表'!AJ88/'18年合同登记表'!$M88</f>
        <v>0</v>
      </c>
      <c r="AO75" s="122">
        <f>客服部最终提成计算表!$X77*0.15*0.8*0.02*'18年合同登记表'!AJ88/'18年合同登记表'!$M88</f>
        <v>0</v>
      </c>
      <c r="AP75" s="122">
        <f>客服部最终提成计算表!$X77*0.15*0.8*0.85*'18年合同登记表'!AL88/'18年合同登记表'!$M88</f>
        <v>0</v>
      </c>
      <c r="AQ75" s="122">
        <f>客服部最终提成计算表!$X77*0.15*0.8*0.08*'18年合同登记表'!AL88/'18年合同登记表'!$M88</f>
        <v>0</v>
      </c>
      <c r="AR75" s="122">
        <f>客服部最终提成计算表!$X77*0.15*0.8*0.05*'18年合同登记表'!AL88/'18年合同登记表'!$M88</f>
        <v>0</v>
      </c>
      <c r="AS75" s="122">
        <f>客服部最终提成计算表!$X77*0.15*0.8*0.02*'18年合同登记表'!AL88/'18年合同登记表'!$M88</f>
        <v>0</v>
      </c>
      <c r="AT75" s="122">
        <f>客服部最终提成计算表!$X77*0.15*0.8*0.85*'18年合同登记表'!AN88/'18年合同登记表'!$M88</f>
        <v>0</v>
      </c>
      <c r="AU75" s="122">
        <f>客服部最终提成计算表!$X77*0.15*0.8*0.08*'18年合同登记表'!AN88/'18年合同登记表'!$M88</f>
        <v>0</v>
      </c>
      <c r="AV75" s="122">
        <f>客服部最终提成计算表!$X77*0.15*0.8*0.05*'18年合同登记表'!AN88/'18年合同登记表'!$M88</f>
        <v>0</v>
      </c>
      <c r="AW75" s="122">
        <f>客服部最终提成计算表!$X77*0.15*0.8*0.02*'18年合同登记表'!AN88/'18年合同登记表'!$M88</f>
        <v>0</v>
      </c>
      <c r="AX75" s="122">
        <f>客服部最终提成计算表!$X77*0.15*0.8*0.85*'18年合同登记表'!AP88/'18年合同登记表'!$M88</f>
        <v>652.8</v>
      </c>
      <c r="AY75" s="122">
        <f>客服部最终提成计算表!$X77*0.15*0.8*0.08*'18年合同登记表'!AP88/'18年合同登记表'!$M88</f>
        <v>61.44</v>
      </c>
      <c r="AZ75" s="122">
        <f>客服部最终提成计算表!$X77*0.15*0.8*0.05*'18年合同登记表'!AP88/'18年合同登记表'!$M88</f>
        <v>38.4</v>
      </c>
      <c r="BA75" s="131">
        <f>客服部最终提成计算表!$X77*0.15*0.8*0.02*'18年合同登记表'!AP88/'18年合同登记表'!$M88</f>
        <v>15.36</v>
      </c>
    </row>
    <row r="76" s="104" customFormat="1" ht="14.25" spans="1:53">
      <c r="A76" s="117"/>
      <c r="B76" s="118" t="str">
        <f>'18年合同登记表'!F89</f>
        <v>华亨</v>
      </c>
      <c r="C76" s="119" t="str">
        <f>'18年合同登记表'!H89</f>
        <v>NHY-20180604-L-01-02-049</v>
      </c>
      <c r="D76" s="119" t="str">
        <f>'18年合同登记表'!I89</f>
        <v>直燃机年度维保</v>
      </c>
      <c r="E76" s="120" t="str">
        <f>'18年合同登记表'!L89</f>
        <v>陈勇</v>
      </c>
      <c r="F76" s="121">
        <f>客服部最终提成计算表!$X78*0.15*0.8*0.85*'18年合同登记表'!T89/'18年合同登记表'!$M89</f>
        <v>0</v>
      </c>
      <c r="G76" s="122">
        <f>客服部最终提成计算表!$X78*0.15*0.8*0.08*'18年合同登记表'!T89/'18年合同登记表'!$M89</f>
        <v>0</v>
      </c>
      <c r="H76" s="122">
        <f>客服部最终提成计算表!$X78*0.15*0.8*0.05*'18年合同登记表'!T89/'18年合同登记表'!$M89</f>
        <v>0</v>
      </c>
      <c r="I76" s="122">
        <f>客服部最终提成计算表!$X78*0.15*0.8*0.02*'18年合同登记表'!T89/'18年合同登记表'!$M89</f>
        <v>0</v>
      </c>
      <c r="J76" s="122">
        <f>客服部最终提成计算表!$X78*0.15*0.8*0.85*'18年合同登记表'!V89/'18年合同登记表'!$M89</f>
        <v>0</v>
      </c>
      <c r="K76" s="122">
        <f>客服部最终提成计算表!$X78*0.15*0.8*0.08*'18年合同登记表'!V89/'18年合同登记表'!$M89</f>
        <v>0</v>
      </c>
      <c r="L76" s="122">
        <f>客服部最终提成计算表!$X78*0.15*0.8*0.05*'18年合同登记表'!V89/'18年合同登记表'!$M89</f>
        <v>0</v>
      </c>
      <c r="M76" s="122">
        <f>客服部最终提成计算表!$X78*0.15*0.8*0.02*'18年合同登记表'!V89/'18年合同登记表'!$M89</f>
        <v>0</v>
      </c>
      <c r="N76" s="122">
        <f>客服部最终提成计算表!$X78*0.15*0.8*0.85*'18年合同登记表'!X89/'18年合同登记表'!$M89</f>
        <v>0</v>
      </c>
      <c r="O76" s="122">
        <f>客服部最终提成计算表!$X78*0.15*0.8*0.08*'18年合同登记表'!X89/'18年合同登记表'!$M89</f>
        <v>0</v>
      </c>
      <c r="P76" s="122">
        <f>客服部最终提成计算表!$X78*0.15*0.8*0.05*'18年合同登记表'!X89/'18年合同登记表'!$M89</f>
        <v>0</v>
      </c>
      <c r="Q76" s="122">
        <f>客服部最终提成计算表!$X78*0.15*0.8*0.02*'18年合同登记表'!X89/'18年合同登记表'!$M89</f>
        <v>0</v>
      </c>
      <c r="R76" s="122">
        <f>客服部最终提成计算表!$X78*0.15*0.8*0.85*'18年合同登记表'!Z89/'18年合同登记表'!$M89</f>
        <v>0</v>
      </c>
      <c r="S76" s="122">
        <f>客服部最终提成计算表!$X78*0.15*0.8*0.08*'18年合同登记表'!Z89/'18年合同登记表'!$M89</f>
        <v>0</v>
      </c>
      <c r="T76" s="122">
        <f>客服部最终提成计算表!$X78*0.15*0.8*0.05*'18年合同登记表'!Z89/'18年合同登记表'!$M89</f>
        <v>0</v>
      </c>
      <c r="U76" s="122">
        <f>客服部最终提成计算表!$X78*0.15*0.8*0.02*'18年合同登记表'!Z89/'18年合同登记表'!$M89</f>
        <v>0</v>
      </c>
      <c r="V76" s="122">
        <f>客服部最终提成计算表!$X78*0.15*0.8*0.85*'18年合同登记表'!AB89/'18年合同登记表'!$M89</f>
        <v>0</v>
      </c>
      <c r="W76" s="122">
        <f>客服部最终提成计算表!$X78*0.15*0.8*0.08*'18年合同登记表'!AB89/'18年合同登记表'!$M89</f>
        <v>0</v>
      </c>
      <c r="X76" s="122">
        <f>客服部最终提成计算表!$X78*0.15*0.8*0.05*'18年合同登记表'!AB89/'18年合同登记表'!$M89</f>
        <v>0</v>
      </c>
      <c r="Y76" s="122">
        <f>客服部最终提成计算表!$X78*0.15*0.8*0.02*'18年合同登记表'!AB89/'18年合同登记表'!$M89</f>
        <v>0</v>
      </c>
      <c r="Z76" s="122">
        <f>客服部最终提成计算表!$X78*0.15*0.8*0.85*'18年合同登记表'!AD89/'18年合同登记表'!$M89</f>
        <v>0</v>
      </c>
      <c r="AA76" s="122">
        <f>客服部最终提成计算表!$X78*0.15*0.8*0.08*'18年合同登记表'!AD89/'18年合同登记表'!$M89</f>
        <v>0</v>
      </c>
      <c r="AB76" s="122">
        <f>客服部最终提成计算表!$X78*0.15*0.8*0.05*'18年合同登记表'!AD89/'18年合同登记表'!$M89</f>
        <v>0</v>
      </c>
      <c r="AC76" s="122">
        <f>客服部最终提成计算表!$X78*0.15*0.8*0.02*'18年合同登记表'!AD89/'18年合同登记表'!$M89</f>
        <v>0</v>
      </c>
      <c r="AD76" s="122">
        <f>客服部最终提成计算表!$X78*0.15*0.8*0.85*'18年合同登记表'!AF89/'18年合同登记表'!$M89</f>
        <v>0</v>
      </c>
      <c r="AE76" s="122">
        <f>客服部最终提成计算表!$X78*0.15*0.8*0.08*'18年合同登记表'!AF89/'18年合同登记表'!$M89</f>
        <v>0</v>
      </c>
      <c r="AF76" s="122">
        <f>客服部最终提成计算表!$X78*0.15*0.8*0.05*'18年合同登记表'!AF89/'18年合同登记表'!$M89</f>
        <v>0</v>
      </c>
      <c r="AG76" s="122">
        <f>客服部最终提成计算表!$X78*0.15*0.8*0.02*'18年合同登记表'!AF89/'18年合同登记表'!$M89</f>
        <v>0</v>
      </c>
      <c r="AH76" s="122">
        <f>客服部最终提成计算表!$X78*0.15*0.8*0.85*'18年合同登记表'!AH89/'18年合同登记表'!$M89</f>
        <v>0</v>
      </c>
      <c r="AI76" s="122">
        <f>客服部最终提成计算表!$X78*0.15*0.8*0.08*'18年合同登记表'!AH89/'18年合同登记表'!$M89</f>
        <v>0</v>
      </c>
      <c r="AJ76" s="122">
        <f>客服部最终提成计算表!$X78*0.15*0.8*0.05*'18年合同登记表'!AH89/'18年合同登记表'!$M89</f>
        <v>0</v>
      </c>
      <c r="AK76" s="122">
        <f>客服部最终提成计算表!$X78*0.15*0.8*0.02*'18年合同登记表'!AH89/'18年合同登记表'!$M89</f>
        <v>0</v>
      </c>
      <c r="AL76" s="122">
        <f>客服部最终提成计算表!$X78*0.15*0.8*0.85*'18年合同登记表'!AJ89/'18年合同登记表'!$M89</f>
        <v>0</v>
      </c>
      <c r="AM76" s="122">
        <f>客服部最终提成计算表!$X78*0.15*0.8*0.08*'18年合同登记表'!AJ89/'18年合同登记表'!$M89</f>
        <v>0</v>
      </c>
      <c r="AN76" s="122">
        <f>客服部最终提成计算表!$X78*0.15*0.8*0.05*'18年合同登记表'!AJ89/'18年合同登记表'!$M89</f>
        <v>0</v>
      </c>
      <c r="AO76" s="122">
        <f>客服部最终提成计算表!$X78*0.15*0.8*0.02*'18年合同登记表'!AJ89/'18年合同登记表'!$M89</f>
        <v>0</v>
      </c>
      <c r="AP76" s="122">
        <f>客服部最终提成计算表!$X78*0.15*0.8*0.85*'18年合同登记表'!AL89/'18年合同登记表'!$M89</f>
        <v>0</v>
      </c>
      <c r="AQ76" s="122">
        <f>客服部最终提成计算表!$X78*0.15*0.8*0.08*'18年合同登记表'!AL89/'18年合同登记表'!$M89</f>
        <v>0</v>
      </c>
      <c r="AR76" s="122">
        <f>客服部最终提成计算表!$X78*0.15*0.8*0.05*'18年合同登记表'!AL89/'18年合同登记表'!$M89</f>
        <v>0</v>
      </c>
      <c r="AS76" s="122">
        <f>客服部最终提成计算表!$X78*0.15*0.8*0.02*'18年合同登记表'!AL89/'18年合同登记表'!$M89</f>
        <v>0</v>
      </c>
      <c r="AT76" s="122">
        <f>客服部最终提成计算表!$X78*0.15*0.8*0.85*'18年合同登记表'!AN89/'18年合同登记表'!$M89</f>
        <v>0</v>
      </c>
      <c r="AU76" s="122">
        <f>客服部最终提成计算表!$X78*0.15*0.8*0.08*'18年合同登记表'!AN89/'18年合同登记表'!$M89</f>
        <v>0</v>
      </c>
      <c r="AV76" s="122">
        <f>客服部最终提成计算表!$X78*0.15*0.8*0.05*'18年合同登记表'!AN89/'18年合同登记表'!$M89</f>
        <v>0</v>
      </c>
      <c r="AW76" s="122">
        <f>客服部最终提成计算表!$X78*0.15*0.8*0.02*'18年合同登记表'!AN89/'18年合同登记表'!$M89</f>
        <v>0</v>
      </c>
      <c r="AX76" s="122">
        <f>客服部最终提成计算表!$X78*0.15*0.8*0.85*'18年合同登记表'!AP89/'18年合同登记表'!$M89</f>
        <v>0</v>
      </c>
      <c r="AY76" s="122">
        <f>客服部最终提成计算表!$X78*0.15*0.8*0.08*'18年合同登记表'!AP89/'18年合同登记表'!$M89</f>
        <v>0</v>
      </c>
      <c r="AZ76" s="122">
        <f>客服部最终提成计算表!$X78*0.15*0.8*0.05*'18年合同登记表'!AP89/'18年合同登记表'!$M89</f>
        <v>0</v>
      </c>
      <c r="BA76" s="131">
        <f>客服部最终提成计算表!$X78*0.15*0.8*0.02*'18年合同登记表'!AP89/'18年合同登记表'!$M89</f>
        <v>0</v>
      </c>
    </row>
    <row r="77" s="104" customFormat="1" ht="14.25" spans="1:53">
      <c r="A77" s="117"/>
      <c r="B77" s="118" t="str">
        <f>'18年合同登记表'!F90</f>
        <v>餐饮中心</v>
      </c>
      <c r="C77" s="119" t="str">
        <f>'18年合同登记表'!H90</f>
        <v>NHY-20180423-L-01-01-030</v>
      </c>
      <c r="D77" s="119" t="str">
        <f>'18年合同登记表'!I90</f>
        <v>锅炉年度维保</v>
      </c>
      <c r="E77" s="120" t="str">
        <f>'18年合同登记表'!L90</f>
        <v>陈勇</v>
      </c>
      <c r="F77" s="121">
        <f>客服部最终提成计算表!$X79*0.15*0.8*0.85*'18年合同登记表'!T90/'18年合同登记表'!$M90</f>
        <v>0</v>
      </c>
      <c r="G77" s="122">
        <f>客服部最终提成计算表!$X79*0.15*0.8*0.08*'18年合同登记表'!T90/'18年合同登记表'!$M90</f>
        <v>0</v>
      </c>
      <c r="H77" s="122">
        <f>客服部最终提成计算表!$X79*0.15*0.8*0.05*'18年合同登记表'!T90/'18年合同登记表'!$M90</f>
        <v>0</v>
      </c>
      <c r="I77" s="122">
        <f>客服部最终提成计算表!$X79*0.15*0.8*0.02*'18年合同登记表'!T90/'18年合同登记表'!$M90</f>
        <v>0</v>
      </c>
      <c r="J77" s="122">
        <f>客服部最终提成计算表!$X79*0.15*0.8*0.85*'18年合同登记表'!V90/'18年合同登记表'!$M90</f>
        <v>0</v>
      </c>
      <c r="K77" s="122">
        <f>客服部最终提成计算表!$X79*0.15*0.8*0.08*'18年合同登记表'!V90/'18年合同登记表'!$M90</f>
        <v>0</v>
      </c>
      <c r="L77" s="122">
        <f>客服部最终提成计算表!$X79*0.15*0.8*0.05*'18年合同登记表'!V90/'18年合同登记表'!$M90</f>
        <v>0</v>
      </c>
      <c r="M77" s="122">
        <f>客服部最终提成计算表!$X79*0.15*0.8*0.02*'18年合同登记表'!V90/'18年合同登记表'!$M90</f>
        <v>0</v>
      </c>
      <c r="N77" s="122">
        <f>客服部最终提成计算表!$X79*0.15*0.8*0.85*'18年合同登记表'!X90/'18年合同登记表'!$M90</f>
        <v>0</v>
      </c>
      <c r="O77" s="122">
        <f>客服部最终提成计算表!$X79*0.15*0.8*0.08*'18年合同登记表'!X90/'18年合同登记表'!$M90</f>
        <v>0</v>
      </c>
      <c r="P77" s="122">
        <f>客服部最终提成计算表!$X79*0.15*0.8*0.05*'18年合同登记表'!X90/'18年合同登记表'!$M90</f>
        <v>0</v>
      </c>
      <c r="Q77" s="122">
        <f>客服部最终提成计算表!$X79*0.15*0.8*0.02*'18年合同登记表'!X90/'18年合同登记表'!$M90</f>
        <v>0</v>
      </c>
      <c r="R77" s="122">
        <f>客服部最终提成计算表!$X79*0.15*0.8*0.85*'18年合同登记表'!Z90/'18年合同登记表'!$M90</f>
        <v>0</v>
      </c>
      <c r="S77" s="122">
        <f>客服部最终提成计算表!$X79*0.15*0.8*0.08*'18年合同登记表'!Z90/'18年合同登记表'!$M90</f>
        <v>0</v>
      </c>
      <c r="T77" s="122">
        <f>客服部最终提成计算表!$X79*0.15*0.8*0.05*'18年合同登记表'!Z90/'18年合同登记表'!$M90</f>
        <v>0</v>
      </c>
      <c r="U77" s="122">
        <f>客服部最终提成计算表!$X79*0.15*0.8*0.02*'18年合同登记表'!Z90/'18年合同登记表'!$M90</f>
        <v>0</v>
      </c>
      <c r="V77" s="122">
        <f>客服部最终提成计算表!$X79*0.15*0.8*0.85*'18年合同登记表'!AB90/'18年合同登记表'!$M90</f>
        <v>0</v>
      </c>
      <c r="W77" s="122">
        <f>客服部最终提成计算表!$X79*0.15*0.8*0.08*'18年合同登记表'!AB90/'18年合同登记表'!$M90</f>
        <v>0</v>
      </c>
      <c r="X77" s="122">
        <f>客服部最终提成计算表!$X79*0.15*0.8*0.05*'18年合同登记表'!AB90/'18年合同登记表'!$M90</f>
        <v>0</v>
      </c>
      <c r="Y77" s="122">
        <f>客服部最终提成计算表!$X79*0.15*0.8*0.02*'18年合同登记表'!AB90/'18年合同登记表'!$M90</f>
        <v>0</v>
      </c>
      <c r="Z77" s="122">
        <f>客服部最终提成计算表!$X79*0.15*0.8*0.85*'18年合同登记表'!AD90/'18年合同登记表'!$M90</f>
        <v>612</v>
      </c>
      <c r="AA77" s="122">
        <f>客服部最终提成计算表!$X79*0.15*0.8*0.08*'18年合同登记表'!AD90/'18年合同登记表'!$M90</f>
        <v>57.6</v>
      </c>
      <c r="AB77" s="122">
        <f>客服部最终提成计算表!$X79*0.15*0.8*0.05*'18年合同登记表'!AD90/'18年合同登记表'!$M90</f>
        <v>36</v>
      </c>
      <c r="AC77" s="122">
        <f>客服部最终提成计算表!$X79*0.15*0.8*0.02*'18年合同登记表'!AD90/'18年合同登记表'!$M90</f>
        <v>14.4</v>
      </c>
      <c r="AD77" s="122">
        <f>客服部最终提成计算表!$X79*0.15*0.8*0.85*'18年合同登记表'!AF90/'18年合同登记表'!$M90</f>
        <v>0</v>
      </c>
      <c r="AE77" s="122">
        <f>客服部最终提成计算表!$X79*0.15*0.8*0.08*'18年合同登记表'!AF90/'18年合同登记表'!$M90</f>
        <v>0</v>
      </c>
      <c r="AF77" s="122">
        <f>客服部最终提成计算表!$X79*0.15*0.8*0.05*'18年合同登记表'!AF90/'18年合同登记表'!$M90</f>
        <v>0</v>
      </c>
      <c r="AG77" s="122">
        <f>客服部最终提成计算表!$X79*0.15*0.8*0.02*'18年合同登记表'!AF90/'18年合同登记表'!$M90</f>
        <v>0</v>
      </c>
      <c r="AH77" s="122">
        <f>客服部最终提成计算表!$X79*0.15*0.8*0.85*'18年合同登记表'!AH90/'18年合同登记表'!$M90</f>
        <v>0</v>
      </c>
      <c r="AI77" s="122">
        <f>客服部最终提成计算表!$X79*0.15*0.8*0.08*'18年合同登记表'!AH90/'18年合同登记表'!$M90</f>
        <v>0</v>
      </c>
      <c r="AJ77" s="122">
        <f>客服部最终提成计算表!$X79*0.15*0.8*0.05*'18年合同登记表'!AH90/'18年合同登记表'!$M90</f>
        <v>0</v>
      </c>
      <c r="AK77" s="122">
        <f>客服部最终提成计算表!$X79*0.15*0.8*0.02*'18年合同登记表'!AH90/'18年合同登记表'!$M90</f>
        <v>0</v>
      </c>
      <c r="AL77" s="122">
        <f>客服部最终提成计算表!$X79*0.15*0.8*0.85*'18年合同登记表'!AJ90/'18年合同登记表'!$M90</f>
        <v>0</v>
      </c>
      <c r="AM77" s="122">
        <f>客服部最终提成计算表!$X79*0.15*0.8*0.08*'18年合同登记表'!AJ90/'18年合同登记表'!$M90</f>
        <v>0</v>
      </c>
      <c r="AN77" s="122">
        <f>客服部最终提成计算表!$X79*0.15*0.8*0.05*'18年合同登记表'!AJ90/'18年合同登记表'!$M90</f>
        <v>0</v>
      </c>
      <c r="AO77" s="122">
        <f>客服部最终提成计算表!$X79*0.15*0.8*0.02*'18年合同登记表'!AJ90/'18年合同登记表'!$M90</f>
        <v>0</v>
      </c>
      <c r="AP77" s="122">
        <f>客服部最终提成计算表!$X79*0.15*0.8*0.85*'18年合同登记表'!AL90/'18年合同登记表'!$M90</f>
        <v>0</v>
      </c>
      <c r="AQ77" s="122">
        <f>客服部最终提成计算表!$X79*0.15*0.8*0.08*'18年合同登记表'!AL90/'18年合同登记表'!$M90</f>
        <v>0</v>
      </c>
      <c r="AR77" s="122">
        <f>客服部最终提成计算表!$X79*0.15*0.8*0.05*'18年合同登记表'!AL90/'18年合同登记表'!$M90</f>
        <v>0</v>
      </c>
      <c r="AS77" s="122">
        <f>客服部最终提成计算表!$X79*0.15*0.8*0.02*'18年合同登记表'!AL90/'18年合同登记表'!$M90</f>
        <v>0</v>
      </c>
      <c r="AT77" s="122">
        <f>客服部最终提成计算表!$X79*0.15*0.8*0.85*'18年合同登记表'!AN90/'18年合同登记表'!$M90</f>
        <v>0</v>
      </c>
      <c r="AU77" s="122">
        <f>客服部最终提成计算表!$X79*0.15*0.8*0.08*'18年合同登记表'!AN90/'18年合同登记表'!$M90</f>
        <v>0</v>
      </c>
      <c r="AV77" s="122">
        <f>客服部最终提成计算表!$X79*0.15*0.8*0.05*'18年合同登记表'!AN90/'18年合同登记表'!$M90</f>
        <v>0</v>
      </c>
      <c r="AW77" s="122">
        <f>客服部最终提成计算表!$X79*0.15*0.8*0.02*'18年合同登记表'!AN90/'18年合同登记表'!$M90</f>
        <v>0</v>
      </c>
      <c r="AX77" s="122">
        <f>客服部最终提成计算表!$X79*0.15*0.8*0.85*'18年合同登记表'!AP90/'18年合同登记表'!$M90</f>
        <v>0</v>
      </c>
      <c r="AY77" s="122">
        <f>客服部最终提成计算表!$X79*0.15*0.8*0.08*'18年合同登记表'!AP90/'18年合同登记表'!$M90</f>
        <v>0</v>
      </c>
      <c r="AZ77" s="122">
        <f>客服部最终提成计算表!$X79*0.15*0.8*0.05*'18年合同登记表'!AP90/'18年合同登记表'!$M90</f>
        <v>0</v>
      </c>
      <c r="BA77" s="131">
        <f>客服部最终提成计算表!$X79*0.15*0.8*0.02*'18年合同登记表'!AP90/'18年合同登记表'!$M90</f>
        <v>0</v>
      </c>
    </row>
    <row r="78" s="104" customFormat="1" ht="14.25" spans="1:53">
      <c r="A78" s="117"/>
      <c r="B78" s="118" t="str">
        <f>'18年合同登记表'!F91</f>
        <v>新农创</v>
      </c>
      <c r="C78" s="119" t="str">
        <f>'18年合同登记表'!H91</f>
        <v>NHY-20180628-Q-01-01-030</v>
      </c>
      <c r="D78" s="119" t="str">
        <f>'18年合同登记表'!I91</f>
        <v>真空泵销售</v>
      </c>
      <c r="E78" s="120" t="str">
        <f>'18年合同登记表'!L91</f>
        <v>陈勇</v>
      </c>
      <c r="F78" s="121">
        <f>客服部最终提成计算表!$X80*0.15*0.8*0.85*'18年合同登记表'!T91/'18年合同登记表'!$M91</f>
        <v>0</v>
      </c>
      <c r="G78" s="122">
        <f>客服部最终提成计算表!$X80*0.15*0.8*0.08*'18年合同登记表'!T91/'18年合同登记表'!$M91</f>
        <v>0</v>
      </c>
      <c r="H78" s="122">
        <f>客服部最终提成计算表!$X80*0.15*0.8*0.05*'18年合同登记表'!T91/'18年合同登记表'!$M91</f>
        <v>0</v>
      </c>
      <c r="I78" s="122">
        <f>客服部最终提成计算表!$X80*0.15*0.8*0.02*'18年合同登记表'!T91/'18年合同登记表'!$M91</f>
        <v>0</v>
      </c>
      <c r="J78" s="122">
        <f>客服部最终提成计算表!$X80*0.15*0.8*0.85*'18年合同登记表'!V91/'18年合同登记表'!$M91</f>
        <v>0</v>
      </c>
      <c r="K78" s="122">
        <f>客服部最终提成计算表!$X80*0.15*0.8*0.08*'18年合同登记表'!V91/'18年合同登记表'!$M91</f>
        <v>0</v>
      </c>
      <c r="L78" s="122">
        <f>客服部最终提成计算表!$X80*0.15*0.8*0.05*'18年合同登记表'!V91/'18年合同登记表'!$M91</f>
        <v>0</v>
      </c>
      <c r="M78" s="122">
        <f>客服部最终提成计算表!$X80*0.15*0.8*0.02*'18年合同登记表'!V91/'18年合同登记表'!$M91</f>
        <v>0</v>
      </c>
      <c r="N78" s="122">
        <f>客服部最终提成计算表!$X80*0.15*0.8*0.85*'18年合同登记表'!X91/'18年合同登记表'!$M91</f>
        <v>0</v>
      </c>
      <c r="O78" s="122">
        <f>客服部最终提成计算表!$X80*0.15*0.8*0.08*'18年合同登记表'!X91/'18年合同登记表'!$M91</f>
        <v>0</v>
      </c>
      <c r="P78" s="122">
        <f>客服部最终提成计算表!$X80*0.15*0.8*0.05*'18年合同登记表'!X91/'18年合同登记表'!$M91</f>
        <v>0</v>
      </c>
      <c r="Q78" s="122">
        <f>客服部最终提成计算表!$X80*0.15*0.8*0.02*'18年合同登记表'!X91/'18年合同登记表'!$M91</f>
        <v>0</v>
      </c>
      <c r="R78" s="122">
        <f>客服部最终提成计算表!$X80*0.15*0.8*0.85*'18年合同登记表'!Z91/'18年合同登记表'!$M91</f>
        <v>0</v>
      </c>
      <c r="S78" s="122">
        <f>客服部最终提成计算表!$X80*0.15*0.8*0.08*'18年合同登记表'!Z91/'18年合同登记表'!$M91</f>
        <v>0</v>
      </c>
      <c r="T78" s="122">
        <f>客服部最终提成计算表!$X80*0.15*0.8*0.05*'18年合同登记表'!Z91/'18年合同登记表'!$M91</f>
        <v>0</v>
      </c>
      <c r="U78" s="122">
        <f>客服部最终提成计算表!$X80*0.15*0.8*0.02*'18年合同登记表'!Z91/'18年合同登记表'!$M91</f>
        <v>0</v>
      </c>
      <c r="V78" s="122">
        <f>客服部最终提成计算表!$X80*0.15*0.8*0.85*'18年合同登记表'!AB91/'18年合同登记表'!$M91</f>
        <v>0</v>
      </c>
      <c r="W78" s="122">
        <f>客服部最终提成计算表!$X80*0.15*0.8*0.08*'18年合同登记表'!AB91/'18年合同登记表'!$M91</f>
        <v>0</v>
      </c>
      <c r="X78" s="122">
        <f>客服部最终提成计算表!$X80*0.15*0.8*0.05*'18年合同登记表'!AB91/'18年合同登记表'!$M91</f>
        <v>0</v>
      </c>
      <c r="Y78" s="122">
        <f>客服部最终提成计算表!$X80*0.15*0.8*0.02*'18年合同登记表'!AB91/'18年合同登记表'!$M91</f>
        <v>0</v>
      </c>
      <c r="Z78" s="122">
        <f>客服部最终提成计算表!$X80*0.15*0.8*0.85*'18年合同登记表'!AD91/'18年合同登记表'!$M91</f>
        <v>612</v>
      </c>
      <c r="AA78" s="122">
        <f>客服部最终提成计算表!$X80*0.15*0.8*0.08*'18年合同登记表'!AD91/'18年合同登记表'!$M91</f>
        <v>57.6</v>
      </c>
      <c r="AB78" s="122">
        <f>客服部最终提成计算表!$X80*0.15*0.8*0.05*'18年合同登记表'!AD91/'18年合同登记表'!$M91</f>
        <v>36</v>
      </c>
      <c r="AC78" s="122">
        <f>客服部最终提成计算表!$X80*0.15*0.8*0.02*'18年合同登记表'!AD91/'18年合同登记表'!$M91</f>
        <v>14.4</v>
      </c>
      <c r="AD78" s="122">
        <f>客服部最终提成计算表!$X80*0.15*0.8*0.85*'18年合同登记表'!AF91/'18年合同登记表'!$M91</f>
        <v>0</v>
      </c>
      <c r="AE78" s="122">
        <f>客服部最终提成计算表!$X80*0.15*0.8*0.08*'18年合同登记表'!AF91/'18年合同登记表'!$M91</f>
        <v>0</v>
      </c>
      <c r="AF78" s="122">
        <f>客服部最终提成计算表!$X80*0.15*0.8*0.05*'18年合同登记表'!AF91/'18年合同登记表'!$M91</f>
        <v>0</v>
      </c>
      <c r="AG78" s="122">
        <f>客服部最终提成计算表!$X80*0.15*0.8*0.02*'18年合同登记表'!AF91/'18年合同登记表'!$M91</f>
        <v>0</v>
      </c>
      <c r="AH78" s="122">
        <f>客服部最终提成计算表!$X80*0.15*0.8*0.85*'18年合同登记表'!AH91/'18年合同登记表'!$M91</f>
        <v>0</v>
      </c>
      <c r="AI78" s="122">
        <f>客服部最终提成计算表!$X80*0.15*0.8*0.08*'18年合同登记表'!AH91/'18年合同登记表'!$M91</f>
        <v>0</v>
      </c>
      <c r="AJ78" s="122">
        <f>客服部最终提成计算表!$X80*0.15*0.8*0.05*'18年合同登记表'!AH91/'18年合同登记表'!$M91</f>
        <v>0</v>
      </c>
      <c r="AK78" s="122">
        <f>客服部最终提成计算表!$X80*0.15*0.8*0.02*'18年合同登记表'!AH91/'18年合同登记表'!$M91</f>
        <v>0</v>
      </c>
      <c r="AL78" s="122">
        <f>客服部最终提成计算表!$X80*0.15*0.8*0.85*'18年合同登记表'!AJ91/'18年合同登记表'!$M91</f>
        <v>0</v>
      </c>
      <c r="AM78" s="122">
        <f>客服部最终提成计算表!$X80*0.15*0.8*0.08*'18年合同登记表'!AJ91/'18年合同登记表'!$M91</f>
        <v>0</v>
      </c>
      <c r="AN78" s="122">
        <f>客服部最终提成计算表!$X80*0.15*0.8*0.05*'18年合同登记表'!AJ91/'18年合同登记表'!$M91</f>
        <v>0</v>
      </c>
      <c r="AO78" s="122">
        <f>客服部最终提成计算表!$X80*0.15*0.8*0.02*'18年合同登记表'!AJ91/'18年合同登记表'!$M91</f>
        <v>0</v>
      </c>
      <c r="AP78" s="122">
        <f>客服部最终提成计算表!$X80*0.15*0.8*0.85*'18年合同登记表'!AL91/'18年合同登记表'!$M91</f>
        <v>0</v>
      </c>
      <c r="AQ78" s="122">
        <f>客服部最终提成计算表!$X80*0.15*0.8*0.08*'18年合同登记表'!AL91/'18年合同登记表'!$M91</f>
        <v>0</v>
      </c>
      <c r="AR78" s="122">
        <f>客服部最终提成计算表!$X80*0.15*0.8*0.05*'18年合同登记表'!AL91/'18年合同登记表'!$M91</f>
        <v>0</v>
      </c>
      <c r="AS78" s="122">
        <f>客服部最终提成计算表!$X80*0.15*0.8*0.02*'18年合同登记表'!AL91/'18年合同登记表'!$M91</f>
        <v>0</v>
      </c>
      <c r="AT78" s="122">
        <f>客服部最终提成计算表!$X80*0.15*0.8*0.85*'18年合同登记表'!AN91/'18年合同登记表'!$M91</f>
        <v>0</v>
      </c>
      <c r="AU78" s="122">
        <f>客服部最终提成计算表!$X80*0.15*0.8*0.08*'18年合同登记表'!AN91/'18年合同登记表'!$M91</f>
        <v>0</v>
      </c>
      <c r="AV78" s="122">
        <f>客服部最终提成计算表!$X80*0.15*0.8*0.05*'18年合同登记表'!AN91/'18年合同登记表'!$M91</f>
        <v>0</v>
      </c>
      <c r="AW78" s="122">
        <f>客服部最终提成计算表!$X80*0.15*0.8*0.02*'18年合同登记表'!AN91/'18年合同登记表'!$M91</f>
        <v>0</v>
      </c>
      <c r="AX78" s="122">
        <f>客服部最终提成计算表!$X80*0.15*0.8*0.85*'18年合同登记表'!AP91/'18年合同登记表'!$M91</f>
        <v>0</v>
      </c>
      <c r="AY78" s="122">
        <f>客服部最终提成计算表!$X80*0.15*0.8*0.08*'18年合同登记表'!AP91/'18年合同登记表'!$M91</f>
        <v>0</v>
      </c>
      <c r="AZ78" s="122">
        <f>客服部最终提成计算表!$X80*0.15*0.8*0.05*'18年合同登记表'!AP91/'18年合同登记表'!$M91</f>
        <v>0</v>
      </c>
      <c r="BA78" s="131">
        <f>客服部最终提成计算表!$X80*0.15*0.8*0.02*'18年合同登记表'!AP91/'18年合同登记表'!$M91</f>
        <v>0</v>
      </c>
    </row>
    <row r="79" s="104" customFormat="1" ht="14.25" spans="1:53">
      <c r="A79" s="117"/>
      <c r="B79" s="118" t="e">
        <f>'18年合同登记表'!#REF!</f>
        <v>#REF!</v>
      </c>
      <c r="C79" s="119" t="e">
        <f>'18年合同登记表'!#REF!</f>
        <v>#REF!</v>
      </c>
      <c r="D79" s="119" t="e">
        <f>'18年合同登记表'!#REF!</f>
        <v>#REF!</v>
      </c>
      <c r="E79" s="120" t="e">
        <f>'18年合同登记表'!#REF!</f>
        <v>#REF!</v>
      </c>
      <c r="F79" s="121" t="e">
        <f>客服部最终提成计算表!$X81*0.15*0.8*0.85*'18年合同登记表'!#REF!/'18年合同登记表'!#REF!</f>
        <v>#REF!</v>
      </c>
      <c r="G79" s="122" t="e">
        <f>客服部最终提成计算表!$X81*0.15*0.8*0.08*'18年合同登记表'!#REF!/'18年合同登记表'!#REF!</f>
        <v>#REF!</v>
      </c>
      <c r="H79" s="122" t="e">
        <f>客服部最终提成计算表!$X81*0.15*0.8*0.05*'18年合同登记表'!#REF!/'18年合同登记表'!#REF!</f>
        <v>#REF!</v>
      </c>
      <c r="I79" s="122" t="e">
        <f>客服部最终提成计算表!$X81*0.15*0.8*0.02*'18年合同登记表'!#REF!/'18年合同登记表'!#REF!</f>
        <v>#REF!</v>
      </c>
      <c r="J79" s="122" t="e">
        <f>客服部最终提成计算表!$X81*0.15*0.8*0.85*'18年合同登记表'!#REF!/'18年合同登记表'!#REF!</f>
        <v>#REF!</v>
      </c>
      <c r="K79" s="122" t="e">
        <f>客服部最终提成计算表!$X81*0.15*0.8*0.08*'18年合同登记表'!#REF!/'18年合同登记表'!#REF!</f>
        <v>#REF!</v>
      </c>
      <c r="L79" s="122" t="e">
        <f>客服部最终提成计算表!$X81*0.15*0.8*0.05*'18年合同登记表'!#REF!/'18年合同登记表'!#REF!</f>
        <v>#REF!</v>
      </c>
      <c r="M79" s="122" t="e">
        <f>客服部最终提成计算表!$X81*0.15*0.8*0.02*'18年合同登记表'!#REF!/'18年合同登记表'!#REF!</f>
        <v>#REF!</v>
      </c>
      <c r="N79" s="122" t="e">
        <f>客服部最终提成计算表!$X81*0.15*0.8*0.85*'18年合同登记表'!#REF!/'18年合同登记表'!#REF!</f>
        <v>#REF!</v>
      </c>
      <c r="O79" s="122" t="e">
        <f>客服部最终提成计算表!$X81*0.15*0.8*0.08*'18年合同登记表'!#REF!/'18年合同登记表'!#REF!</f>
        <v>#REF!</v>
      </c>
      <c r="P79" s="122" t="e">
        <f>客服部最终提成计算表!$X81*0.15*0.8*0.05*'18年合同登记表'!#REF!/'18年合同登记表'!#REF!</f>
        <v>#REF!</v>
      </c>
      <c r="Q79" s="122" t="e">
        <f>客服部最终提成计算表!$X81*0.15*0.8*0.02*'18年合同登记表'!#REF!/'18年合同登记表'!#REF!</f>
        <v>#REF!</v>
      </c>
      <c r="R79" s="122" t="e">
        <f>客服部最终提成计算表!$X81*0.15*0.8*0.85*'18年合同登记表'!#REF!/'18年合同登记表'!#REF!</f>
        <v>#REF!</v>
      </c>
      <c r="S79" s="122" t="e">
        <f>客服部最终提成计算表!$X81*0.15*0.8*0.08*'18年合同登记表'!#REF!/'18年合同登记表'!#REF!</f>
        <v>#REF!</v>
      </c>
      <c r="T79" s="122" t="e">
        <f>客服部最终提成计算表!$X81*0.15*0.8*0.05*'18年合同登记表'!#REF!/'18年合同登记表'!#REF!</f>
        <v>#REF!</v>
      </c>
      <c r="U79" s="122" t="e">
        <f>客服部最终提成计算表!$X81*0.15*0.8*0.02*'18年合同登记表'!#REF!/'18年合同登记表'!#REF!</f>
        <v>#REF!</v>
      </c>
      <c r="V79" s="122" t="e">
        <f>客服部最终提成计算表!$X81*0.15*0.8*0.85*'18年合同登记表'!#REF!/'18年合同登记表'!#REF!</f>
        <v>#REF!</v>
      </c>
      <c r="W79" s="122" t="e">
        <f>客服部最终提成计算表!$X81*0.15*0.8*0.08*'18年合同登记表'!#REF!/'18年合同登记表'!#REF!</f>
        <v>#REF!</v>
      </c>
      <c r="X79" s="122" t="e">
        <f>客服部最终提成计算表!$X81*0.15*0.8*0.05*'18年合同登记表'!#REF!/'18年合同登记表'!#REF!</f>
        <v>#REF!</v>
      </c>
      <c r="Y79" s="122" t="e">
        <f>客服部最终提成计算表!$X81*0.15*0.8*0.02*'18年合同登记表'!#REF!/'18年合同登记表'!#REF!</f>
        <v>#REF!</v>
      </c>
      <c r="Z79" s="122" t="e">
        <f>客服部最终提成计算表!$X81*0.15*0.8*0.85*'18年合同登记表'!#REF!/'18年合同登记表'!#REF!</f>
        <v>#REF!</v>
      </c>
      <c r="AA79" s="122" t="e">
        <f>客服部最终提成计算表!$X81*0.15*0.8*0.08*'18年合同登记表'!#REF!/'18年合同登记表'!#REF!</f>
        <v>#REF!</v>
      </c>
      <c r="AB79" s="122" t="e">
        <f>客服部最终提成计算表!$X81*0.15*0.8*0.05*'18年合同登记表'!#REF!/'18年合同登记表'!#REF!</f>
        <v>#REF!</v>
      </c>
      <c r="AC79" s="122" t="e">
        <f>客服部最终提成计算表!$X81*0.15*0.8*0.02*'18年合同登记表'!#REF!/'18年合同登记表'!#REF!</f>
        <v>#REF!</v>
      </c>
      <c r="AD79" s="122" t="e">
        <f>客服部最终提成计算表!$X81*0.15*0.8*0.85*'18年合同登记表'!#REF!/'18年合同登记表'!#REF!</f>
        <v>#REF!</v>
      </c>
      <c r="AE79" s="122" t="e">
        <f>客服部最终提成计算表!$X81*0.15*0.8*0.08*'18年合同登记表'!#REF!/'18年合同登记表'!#REF!</f>
        <v>#REF!</v>
      </c>
      <c r="AF79" s="122" t="e">
        <f>客服部最终提成计算表!$X81*0.15*0.8*0.05*'18年合同登记表'!#REF!/'18年合同登记表'!#REF!</f>
        <v>#REF!</v>
      </c>
      <c r="AG79" s="122" t="e">
        <f>客服部最终提成计算表!$X81*0.15*0.8*0.02*'18年合同登记表'!#REF!/'18年合同登记表'!#REF!</f>
        <v>#REF!</v>
      </c>
      <c r="AH79" s="122" t="e">
        <f>客服部最终提成计算表!$X81*0.15*0.8*0.85*'18年合同登记表'!#REF!/'18年合同登记表'!#REF!</f>
        <v>#REF!</v>
      </c>
      <c r="AI79" s="122" t="e">
        <f>客服部最终提成计算表!$X81*0.15*0.8*0.08*'18年合同登记表'!#REF!/'18年合同登记表'!#REF!</f>
        <v>#REF!</v>
      </c>
      <c r="AJ79" s="122" t="e">
        <f>客服部最终提成计算表!$X81*0.15*0.8*0.05*'18年合同登记表'!#REF!/'18年合同登记表'!#REF!</f>
        <v>#REF!</v>
      </c>
      <c r="AK79" s="122" t="e">
        <f>客服部最终提成计算表!$X81*0.15*0.8*0.02*'18年合同登记表'!#REF!/'18年合同登记表'!#REF!</f>
        <v>#REF!</v>
      </c>
      <c r="AL79" s="122" t="e">
        <f>客服部最终提成计算表!$X81*0.15*0.8*0.85*'18年合同登记表'!#REF!/'18年合同登记表'!#REF!</f>
        <v>#REF!</v>
      </c>
      <c r="AM79" s="122" t="e">
        <f>客服部最终提成计算表!$X81*0.15*0.8*0.08*'18年合同登记表'!#REF!/'18年合同登记表'!#REF!</f>
        <v>#REF!</v>
      </c>
      <c r="AN79" s="122" t="e">
        <f>客服部最终提成计算表!$X81*0.15*0.8*0.05*'18年合同登记表'!#REF!/'18年合同登记表'!#REF!</f>
        <v>#REF!</v>
      </c>
      <c r="AO79" s="122" t="e">
        <f>客服部最终提成计算表!$X81*0.15*0.8*0.02*'18年合同登记表'!#REF!/'18年合同登记表'!#REF!</f>
        <v>#REF!</v>
      </c>
      <c r="AP79" s="122" t="e">
        <f>客服部最终提成计算表!$X81*0.15*0.8*0.85*'18年合同登记表'!#REF!/'18年合同登记表'!#REF!</f>
        <v>#REF!</v>
      </c>
      <c r="AQ79" s="122" t="e">
        <f>客服部最终提成计算表!$X81*0.15*0.8*0.08*'18年合同登记表'!#REF!/'18年合同登记表'!#REF!</f>
        <v>#REF!</v>
      </c>
      <c r="AR79" s="122" t="e">
        <f>客服部最终提成计算表!$X81*0.15*0.8*0.05*'18年合同登记表'!#REF!/'18年合同登记表'!#REF!</f>
        <v>#REF!</v>
      </c>
      <c r="AS79" s="122" t="e">
        <f>客服部最终提成计算表!$X81*0.15*0.8*0.02*'18年合同登记表'!#REF!/'18年合同登记表'!#REF!</f>
        <v>#REF!</v>
      </c>
      <c r="AT79" s="122" t="e">
        <f>客服部最终提成计算表!$X81*0.15*0.8*0.85*'18年合同登记表'!#REF!/'18年合同登记表'!#REF!</f>
        <v>#REF!</v>
      </c>
      <c r="AU79" s="122" t="e">
        <f>客服部最终提成计算表!$X81*0.15*0.8*0.08*'18年合同登记表'!#REF!/'18年合同登记表'!#REF!</f>
        <v>#REF!</v>
      </c>
      <c r="AV79" s="122" t="e">
        <f>客服部最终提成计算表!$X81*0.15*0.8*0.05*'18年合同登记表'!#REF!/'18年合同登记表'!#REF!</f>
        <v>#REF!</v>
      </c>
      <c r="AW79" s="122" t="e">
        <f>客服部最终提成计算表!$X81*0.15*0.8*0.02*'18年合同登记表'!#REF!/'18年合同登记表'!#REF!</f>
        <v>#REF!</v>
      </c>
      <c r="AX79" s="122" t="e">
        <f>客服部最终提成计算表!$X81*0.15*0.8*0.85*'18年合同登记表'!#REF!/'18年合同登记表'!#REF!</f>
        <v>#REF!</v>
      </c>
      <c r="AY79" s="122" t="e">
        <f>客服部最终提成计算表!$X81*0.15*0.8*0.08*'18年合同登记表'!#REF!/'18年合同登记表'!#REF!</f>
        <v>#REF!</v>
      </c>
      <c r="AZ79" s="122" t="e">
        <f>客服部最终提成计算表!$X81*0.15*0.8*0.05*'18年合同登记表'!#REF!/'18年合同登记表'!#REF!</f>
        <v>#REF!</v>
      </c>
      <c r="BA79" s="131" t="e">
        <f>客服部最终提成计算表!$X81*0.15*0.8*0.02*'18年合同登记表'!#REF!/'18年合同登记表'!#REF!</f>
        <v>#REF!</v>
      </c>
    </row>
    <row r="80" s="104" customFormat="1" ht="14.25" spans="1:53">
      <c r="A80" s="123" t="s">
        <v>982</v>
      </c>
      <c r="B80" s="124">
        <f>'18年合同登记表'!F100</f>
        <v>0</v>
      </c>
      <c r="C80" s="125">
        <f>'18年合同登记表'!H100</f>
        <v>0</v>
      </c>
      <c r="D80" s="125">
        <f>'18年合同登记表'!I100</f>
        <v>0</v>
      </c>
      <c r="E80" s="126">
        <f>'18年合同登记表'!L100</f>
        <v>0</v>
      </c>
      <c r="F80" s="127" t="e">
        <f>SUM(F72:F79)</f>
        <v>#REF!</v>
      </c>
      <c r="G80" s="128" t="e">
        <f>客服部最终提成计算表!$X82*0.15*0.8*0.08*'18年合同登记表'!T100/'18年合同登记表'!$M100</f>
        <v>#REF!</v>
      </c>
      <c r="H80" s="128" t="e">
        <f>客服部最终提成计算表!$X82*0.15*0.8*0.05*'18年合同登记表'!T100/'18年合同登记表'!$M100</f>
        <v>#REF!</v>
      </c>
      <c r="I80" s="128" t="e">
        <f>客服部最终提成计算表!$X82*0.15*0.8*0.02*'18年合同登记表'!T100/'18年合同登记表'!$M100</f>
        <v>#REF!</v>
      </c>
      <c r="J80" s="128" t="e">
        <f>客服部最终提成计算表!$X82*0.15*0.8*0.85*'18年合同登记表'!V100/'18年合同登记表'!$M100</f>
        <v>#REF!</v>
      </c>
      <c r="K80" s="128" t="e">
        <f>客服部最终提成计算表!$X82*0.15*0.8*0.08*'18年合同登记表'!V100/'18年合同登记表'!$M100</f>
        <v>#REF!</v>
      </c>
      <c r="L80" s="128" t="e">
        <f>客服部最终提成计算表!$X82*0.15*0.8*0.05*'18年合同登记表'!V100/'18年合同登记表'!$M100</f>
        <v>#REF!</v>
      </c>
      <c r="M80" s="128" t="e">
        <f>客服部最终提成计算表!$X82*0.15*0.8*0.02*'18年合同登记表'!V100/'18年合同登记表'!$M100</f>
        <v>#REF!</v>
      </c>
      <c r="N80" s="128" t="e">
        <f>客服部最终提成计算表!$X82*0.15*0.8*0.85*'18年合同登记表'!X100/'18年合同登记表'!$M100</f>
        <v>#REF!</v>
      </c>
      <c r="O80" s="128" t="e">
        <f>客服部最终提成计算表!$X82*0.15*0.8*0.08*'18年合同登记表'!X100/'18年合同登记表'!$M100</f>
        <v>#REF!</v>
      </c>
      <c r="P80" s="128" t="e">
        <f>客服部最终提成计算表!$X82*0.15*0.8*0.05*'18年合同登记表'!X100/'18年合同登记表'!$M100</f>
        <v>#REF!</v>
      </c>
      <c r="Q80" s="128" t="e">
        <f>客服部最终提成计算表!$X82*0.15*0.8*0.02*'18年合同登记表'!X100/'18年合同登记表'!$M100</f>
        <v>#REF!</v>
      </c>
      <c r="R80" s="128" t="e">
        <f>客服部最终提成计算表!$X82*0.15*0.8*0.85*'18年合同登记表'!Z100/'18年合同登记表'!$M100</f>
        <v>#REF!</v>
      </c>
      <c r="S80" s="128" t="e">
        <f>客服部最终提成计算表!$X82*0.15*0.8*0.08*'18年合同登记表'!Z100/'18年合同登记表'!$M100</f>
        <v>#REF!</v>
      </c>
      <c r="T80" s="128" t="e">
        <f>客服部最终提成计算表!$X82*0.15*0.8*0.05*'18年合同登记表'!Z100/'18年合同登记表'!$M100</f>
        <v>#REF!</v>
      </c>
      <c r="U80" s="128" t="e">
        <f>客服部最终提成计算表!$X82*0.15*0.8*0.02*'18年合同登记表'!Z100/'18年合同登记表'!$M100</f>
        <v>#REF!</v>
      </c>
      <c r="V80" s="128" t="e">
        <f>客服部最终提成计算表!$X82*0.15*0.8*0.85*'18年合同登记表'!AB100/'18年合同登记表'!$M100</f>
        <v>#REF!</v>
      </c>
      <c r="W80" s="128" t="e">
        <f>客服部最终提成计算表!$X82*0.15*0.8*0.08*'18年合同登记表'!AB100/'18年合同登记表'!$M100</f>
        <v>#REF!</v>
      </c>
      <c r="X80" s="128" t="e">
        <f>客服部最终提成计算表!$X82*0.15*0.8*0.05*'18年合同登记表'!AB100/'18年合同登记表'!$M100</f>
        <v>#REF!</v>
      </c>
      <c r="Y80" s="128" t="e">
        <f>客服部最终提成计算表!$X82*0.15*0.8*0.02*'18年合同登记表'!AB100/'18年合同登记表'!$M100</f>
        <v>#REF!</v>
      </c>
      <c r="Z80" s="128" t="e">
        <f>客服部最终提成计算表!$X82*0.15*0.8*0.85*'18年合同登记表'!AD100/'18年合同登记表'!$M100</f>
        <v>#REF!</v>
      </c>
      <c r="AA80" s="128" t="e">
        <f>客服部最终提成计算表!$X82*0.15*0.8*0.08*'18年合同登记表'!AD100/'18年合同登记表'!$M100</f>
        <v>#REF!</v>
      </c>
      <c r="AB80" s="128" t="e">
        <f>客服部最终提成计算表!$X82*0.15*0.8*0.05*'18年合同登记表'!AD100/'18年合同登记表'!$M100</f>
        <v>#REF!</v>
      </c>
      <c r="AC80" s="128" t="e">
        <f>客服部最终提成计算表!$X82*0.15*0.8*0.02*'18年合同登记表'!AD100/'18年合同登记表'!$M100</f>
        <v>#REF!</v>
      </c>
      <c r="AD80" s="128" t="e">
        <f>客服部最终提成计算表!$X82*0.15*0.8*0.85*'18年合同登记表'!AF100/'18年合同登记表'!$M100</f>
        <v>#REF!</v>
      </c>
      <c r="AE80" s="128" t="e">
        <f>客服部最终提成计算表!$X82*0.15*0.8*0.08*'18年合同登记表'!AF100/'18年合同登记表'!$M100</f>
        <v>#REF!</v>
      </c>
      <c r="AF80" s="128" t="e">
        <f>客服部最终提成计算表!$X82*0.15*0.8*0.05*'18年合同登记表'!AF100/'18年合同登记表'!$M100</f>
        <v>#REF!</v>
      </c>
      <c r="AG80" s="128" t="e">
        <f>客服部最终提成计算表!$X82*0.15*0.8*0.02*'18年合同登记表'!AF100/'18年合同登记表'!$M100</f>
        <v>#REF!</v>
      </c>
      <c r="AH80" s="128" t="e">
        <f>客服部最终提成计算表!$X82*0.15*0.8*0.85*'18年合同登记表'!AH100/'18年合同登记表'!$M100</f>
        <v>#REF!</v>
      </c>
      <c r="AI80" s="128" t="e">
        <f>客服部最终提成计算表!$X82*0.15*0.8*0.08*'18年合同登记表'!AH100/'18年合同登记表'!$M100</f>
        <v>#REF!</v>
      </c>
      <c r="AJ80" s="128" t="e">
        <f>客服部最终提成计算表!$X82*0.15*0.8*0.05*'18年合同登记表'!AH100/'18年合同登记表'!$M100</f>
        <v>#REF!</v>
      </c>
      <c r="AK80" s="128" t="e">
        <f>客服部最终提成计算表!$X82*0.15*0.8*0.02*'18年合同登记表'!AH100/'18年合同登记表'!$M100</f>
        <v>#REF!</v>
      </c>
      <c r="AL80" s="128" t="e">
        <f>客服部最终提成计算表!$X82*0.15*0.8*0.85*'18年合同登记表'!AJ100/'18年合同登记表'!$M100</f>
        <v>#REF!</v>
      </c>
      <c r="AM80" s="128" t="e">
        <f>客服部最终提成计算表!$X82*0.15*0.8*0.08*'18年合同登记表'!AJ100/'18年合同登记表'!$M100</f>
        <v>#REF!</v>
      </c>
      <c r="AN80" s="128" t="e">
        <f>客服部最终提成计算表!$X82*0.15*0.8*0.05*'18年合同登记表'!AJ100/'18年合同登记表'!$M100</f>
        <v>#REF!</v>
      </c>
      <c r="AO80" s="128" t="e">
        <f>客服部最终提成计算表!$X82*0.15*0.8*0.02*'18年合同登记表'!AJ100/'18年合同登记表'!$M100</f>
        <v>#REF!</v>
      </c>
      <c r="AP80" s="128" t="e">
        <f>客服部最终提成计算表!$X82*0.15*0.8*0.85*'18年合同登记表'!AL100/'18年合同登记表'!$M100</f>
        <v>#REF!</v>
      </c>
      <c r="AQ80" s="128" t="e">
        <f>客服部最终提成计算表!$X82*0.15*0.8*0.08*'18年合同登记表'!AL100/'18年合同登记表'!$M100</f>
        <v>#REF!</v>
      </c>
      <c r="AR80" s="128" t="e">
        <f>客服部最终提成计算表!$X82*0.15*0.8*0.05*'18年合同登记表'!AL100/'18年合同登记表'!$M100</f>
        <v>#REF!</v>
      </c>
      <c r="AS80" s="128" t="e">
        <f>客服部最终提成计算表!$X82*0.15*0.8*0.02*'18年合同登记表'!AL100/'18年合同登记表'!$M100</f>
        <v>#REF!</v>
      </c>
      <c r="AT80" s="128" t="e">
        <f>客服部最终提成计算表!$X82*0.15*0.8*0.85*'18年合同登记表'!AN100/'18年合同登记表'!$M100</f>
        <v>#REF!</v>
      </c>
      <c r="AU80" s="128" t="e">
        <f>客服部最终提成计算表!$X82*0.15*0.8*0.08*'18年合同登记表'!AN100/'18年合同登记表'!$M100</f>
        <v>#REF!</v>
      </c>
      <c r="AV80" s="128" t="e">
        <f>客服部最终提成计算表!$X82*0.15*0.8*0.05*'18年合同登记表'!AN100/'18年合同登记表'!$M100</f>
        <v>#REF!</v>
      </c>
      <c r="AW80" s="128" t="e">
        <f>客服部最终提成计算表!$X82*0.15*0.8*0.02*'18年合同登记表'!AN100/'18年合同登记表'!$M100</f>
        <v>#REF!</v>
      </c>
      <c r="AX80" s="128" t="e">
        <f>客服部最终提成计算表!$X82*0.15*0.8*0.85*'18年合同登记表'!AP100/'18年合同登记表'!$M100</f>
        <v>#REF!</v>
      </c>
      <c r="AY80" s="128" t="e">
        <f>客服部最终提成计算表!$X82*0.15*0.8*0.08*'18年合同登记表'!AP100/'18年合同登记表'!$M100</f>
        <v>#REF!</v>
      </c>
      <c r="AZ80" s="128" t="e">
        <f>客服部最终提成计算表!$X82*0.15*0.8*0.05*'18年合同登记表'!AP100/'18年合同登记表'!$M100</f>
        <v>#REF!</v>
      </c>
      <c r="BA80" s="132" t="e">
        <f>客服部最终提成计算表!$X82*0.15*0.8*0.02*'18年合同登记表'!AP100/'18年合同登记表'!$M100</f>
        <v>#REF!</v>
      </c>
    </row>
    <row r="81" s="104" customFormat="1" ht="14.25" spans="1:53">
      <c r="A81" s="123" t="s">
        <v>983</v>
      </c>
      <c r="B81" s="124">
        <f>'18年合同登记表'!F101</f>
        <v>0</v>
      </c>
      <c r="C81" s="125">
        <f>'18年合同登记表'!H101</f>
        <v>0</v>
      </c>
      <c r="D81" s="125">
        <f>'18年合同登记表'!I101</f>
        <v>0</v>
      </c>
      <c r="E81" s="126">
        <f>'18年合同登记表'!L101</f>
        <v>0</v>
      </c>
      <c r="F81" s="127" t="e">
        <f>F71+F80</f>
        <v>#REF!</v>
      </c>
      <c r="G81" s="127" t="e">
        <f t="shared" ref="G81" si="143">G71+G80</f>
        <v>#REF!</v>
      </c>
      <c r="H81" s="127" t="e">
        <f t="shared" ref="H81" si="144">H71+H80</f>
        <v>#REF!</v>
      </c>
      <c r="I81" s="127" t="e">
        <f t="shared" ref="I81" si="145">I71+I80</f>
        <v>#REF!</v>
      </c>
      <c r="J81" s="127" t="e">
        <f t="shared" ref="J81" si="146">J71+J80</f>
        <v>#REF!</v>
      </c>
      <c r="K81" s="127" t="e">
        <f t="shared" ref="K81" si="147">K71+K80</f>
        <v>#REF!</v>
      </c>
      <c r="L81" s="127" t="e">
        <f t="shared" ref="L81" si="148">L71+L80</f>
        <v>#REF!</v>
      </c>
      <c r="M81" s="127" t="e">
        <f t="shared" ref="M81" si="149">M71+M80</f>
        <v>#REF!</v>
      </c>
      <c r="N81" s="127" t="e">
        <f t="shared" ref="N81" si="150">N71+N80</f>
        <v>#REF!</v>
      </c>
      <c r="O81" s="127" t="e">
        <f t="shared" ref="O81" si="151">O71+O80</f>
        <v>#REF!</v>
      </c>
      <c r="P81" s="127" t="e">
        <f t="shared" ref="P81" si="152">P71+P80</f>
        <v>#REF!</v>
      </c>
      <c r="Q81" s="127" t="e">
        <f t="shared" ref="Q81" si="153">Q71+Q80</f>
        <v>#REF!</v>
      </c>
      <c r="R81" s="127" t="e">
        <f t="shared" ref="R81" si="154">R71+R80</f>
        <v>#REF!</v>
      </c>
      <c r="S81" s="127" t="e">
        <f t="shared" ref="S81" si="155">S71+S80</f>
        <v>#REF!</v>
      </c>
      <c r="T81" s="127" t="e">
        <f t="shared" ref="T81" si="156">T71+T80</f>
        <v>#REF!</v>
      </c>
      <c r="U81" s="127" t="e">
        <f t="shared" ref="U81" si="157">U71+U80</f>
        <v>#REF!</v>
      </c>
      <c r="V81" s="127" t="e">
        <f t="shared" ref="V81" si="158">V71+V80</f>
        <v>#REF!</v>
      </c>
      <c r="W81" s="127" t="e">
        <f t="shared" ref="W81" si="159">W71+W80</f>
        <v>#REF!</v>
      </c>
      <c r="X81" s="127" t="e">
        <f t="shared" ref="X81" si="160">X71+X80</f>
        <v>#REF!</v>
      </c>
      <c r="Y81" s="127" t="e">
        <f t="shared" ref="Y81" si="161">Y71+Y80</f>
        <v>#REF!</v>
      </c>
      <c r="Z81" s="127" t="e">
        <f t="shared" ref="Z81" si="162">Z71+Z80</f>
        <v>#REF!</v>
      </c>
      <c r="AA81" s="127" t="e">
        <f t="shared" ref="AA81" si="163">AA71+AA80</f>
        <v>#REF!</v>
      </c>
      <c r="AB81" s="127" t="e">
        <f t="shared" ref="AB81" si="164">AB71+AB80</f>
        <v>#REF!</v>
      </c>
      <c r="AC81" s="127" t="e">
        <f t="shared" ref="AC81" si="165">AC71+AC80</f>
        <v>#REF!</v>
      </c>
      <c r="AD81" s="127" t="e">
        <f t="shared" ref="AD81" si="166">AD71+AD80</f>
        <v>#REF!</v>
      </c>
      <c r="AE81" s="127" t="e">
        <f t="shared" ref="AE81" si="167">AE71+AE80</f>
        <v>#REF!</v>
      </c>
      <c r="AF81" s="127" t="e">
        <f t="shared" ref="AF81" si="168">AF71+AF80</f>
        <v>#REF!</v>
      </c>
      <c r="AG81" s="127" t="e">
        <f t="shared" ref="AG81" si="169">AG71+AG80</f>
        <v>#REF!</v>
      </c>
      <c r="AH81" s="127" t="e">
        <f t="shared" ref="AH81" si="170">AH71+AH80</f>
        <v>#REF!</v>
      </c>
      <c r="AI81" s="127" t="e">
        <f t="shared" ref="AI81" si="171">AI71+AI80</f>
        <v>#REF!</v>
      </c>
      <c r="AJ81" s="127" t="e">
        <f t="shared" ref="AJ81" si="172">AJ71+AJ80</f>
        <v>#REF!</v>
      </c>
      <c r="AK81" s="127" t="e">
        <f t="shared" ref="AK81" si="173">AK71+AK80</f>
        <v>#REF!</v>
      </c>
      <c r="AL81" s="127" t="e">
        <f t="shared" ref="AL81" si="174">AL71+AL80</f>
        <v>#REF!</v>
      </c>
      <c r="AM81" s="127" t="e">
        <f t="shared" ref="AM81" si="175">AM71+AM80</f>
        <v>#REF!</v>
      </c>
      <c r="AN81" s="127" t="e">
        <f t="shared" ref="AN81" si="176">AN71+AN80</f>
        <v>#REF!</v>
      </c>
      <c r="AO81" s="127" t="e">
        <f t="shared" ref="AO81" si="177">AO71+AO80</f>
        <v>#REF!</v>
      </c>
      <c r="AP81" s="127" t="e">
        <f t="shared" ref="AP81" si="178">AP71+AP80</f>
        <v>#REF!</v>
      </c>
      <c r="AQ81" s="127" t="e">
        <f t="shared" ref="AQ81" si="179">AQ71+AQ80</f>
        <v>#REF!</v>
      </c>
      <c r="AR81" s="127" t="e">
        <f t="shared" ref="AR81" si="180">AR71+AR80</f>
        <v>#REF!</v>
      </c>
      <c r="AS81" s="127" t="e">
        <f t="shared" ref="AS81" si="181">AS71+AS80</f>
        <v>#REF!</v>
      </c>
      <c r="AT81" s="127" t="e">
        <f t="shared" ref="AT81" si="182">AT71+AT80</f>
        <v>#REF!</v>
      </c>
      <c r="AU81" s="127" t="e">
        <f t="shared" ref="AU81" si="183">AU71+AU80</f>
        <v>#REF!</v>
      </c>
      <c r="AV81" s="127" t="e">
        <f t="shared" ref="AV81" si="184">AV71+AV80</f>
        <v>#REF!</v>
      </c>
      <c r="AW81" s="127" t="e">
        <f t="shared" ref="AW81" si="185">AW71+AW80</f>
        <v>#REF!</v>
      </c>
      <c r="AX81" s="127" t="e">
        <f t="shared" ref="AX81" si="186">AX71+AX80</f>
        <v>#REF!</v>
      </c>
      <c r="AY81" s="127" t="e">
        <f t="shared" ref="AY81" si="187">AY71+AY80</f>
        <v>#REF!</v>
      </c>
      <c r="AZ81" s="127" t="e">
        <f t="shared" ref="AZ81" si="188">AZ71+AZ80</f>
        <v>#REF!</v>
      </c>
      <c r="BA81" s="127" t="e">
        <f t="shared" ref="BA81" si="189">BA71+BA80</f>
        <v>#REF!</v>
      </c>
    </row>
    <row r="82" s="104" customFormat="1" ht="14.25" spans="1:53">
      <c r="A82" s="117"/>
      <c r="B82" s="118" t="str">
        <f>'18年合同登记表'!F102</f>
        <v>富达广场</v>
      </c>
      <c r="C82" s="119" t="str">
        <f>'18年合同登记表'!H102</f>
        <v>NHY-20180403-Q-01-01-001</v>
      </c>
      <c r="D82" s="119" t="str">
        <f>'18年合同登记表'!I102</f>
        <v>螺杆机清洗预膜、维保</v>
      </c>
      <c r="E82" s="120" t="str">
        <f>'18年合同登记表'!L102</f>
        <v>徐利斌</v>
      </c>
      <c r="F82" s="121">
        <f>客服部最终提成计算表!$X84*0.15*0.8*0.85*'18年合同登记表'!T102/'18年合同登记表'!$M102</f>
        <v>0</v>
      </c>
      <c r="G82" s="122">
        <f>客服部最终提成计算表!$X84*0.15*0.8*0.08*'18年合同登记表'!T102/'18年合同登记表'!$M102</f>
        <v>0</v>
      </c>
      <c r="H82" s="122">
        <f>客服部最终提成计算表!$X84*0.15*0.8*0.05*'18年合同登记表'!T102/'18年合同登记表'!$M102</f>
        <v>0</v>
      </c>
      <c r="I82" s="122">
        <f>客服部最终提成计算表!$X84*0.15*0.8*0.02*'18年合同登记表'!T102/'18年合同登记表'!$M102</f>
        <v>0</v>
      </c>
      <c r="J82" s="122">
        <f>客服部最终提成计算表!$X84*0.15*0.8*0.85*'18年合同登记表'!V102/'18年合同登记表'!$M102</f>
        <v>0</v>
      </c>
      <c r="K82" s="122">
        <f>客服部最终提成计算表!$X84*0.15*0.8*0.08*'18年合同登记表'!V102/'18年合同登记表'!$M102</f>
        <v>0</v>
      </c>
      <c r="L82" s="122">
        <f>客服部最终提成计算表!$X84*0.15*0.8*0.05*'18年合同登记表'!V102/'18年合同登记表'!$M102</f>
        <v>0</v>
      </c>
      <c r="M82" s="122">
        <f>客服部最终提成计算表!$X84*0.15*0.8*0.02*'18年合同登记表'!V102/'18年合同登记表'!$M102</f>
        <v>0</v>
      </c>
      <c r="N82" s="122">
        <f>客服部最终提成计算表!$X84*0.15*0.8*0.85*'18年合同登记表'!X102/'18年合同登记表'!$M102</f>
        <v>0</v>
      </c>
      <c r="O82" s="122">
        <f>客服部最终提成计算表!$X84*0.15*0.8*0.08*'18年合同登记表'!X102/'18年合同登记表'!$M102</f>
        <v>0</v>
      </c>
      <c r="P82" s="122">
        <f>客服部最终提成计算表!$X84*0.15*0.8*0.05*'18年合同登记表'!X102/'18年合同登记表'!$M102</f>
        <v>0</v>
      </c>
      <c r="Q82" s="122">
        <f>客服部最终提成计算表!$X84*0.15*0.8*0.02*'18年合同登记表'!X102/'18年合同登记表'!$M102</f>
        <v>0</v>
      </c>
      <c r="R82" s="122">
        <f>客服部最终提成计算表!$X84*0.15*0.8*0.85*'18年合同登记表'!Z102/'18年合同登记表'!$M102</f>
        <v>0</v>
      </c>
      <c r="S82" s="122">
        <f>客服部最终提成计算表!$X84*0.15*0.8*0.08*'18年合同登记表'!Z102/'18年合同登记表'!$M102</f>
        <v>0</v>
      </c>
      <c r="T82" s="122">
        <f>客服部最终提成计算表!$X84*0.15*0.8*0.05*'18年合同登记表'!Z102/'18年合同登记表'!$M102</f>
        <v>0</v>
      </c>
      <c r="U82" s="122">
        <f>客服部最终提成计算表!$X84*0.15*0.8*0.02*'18年合同登记表'!Z102/'18年合同登记表'!$M102</f>
        <v>0</v>
      </c>
      <c r="V82" s="122">
        <f>客服部最终提成计算表!$X84*0.15*0.8*0.85*'18年合同登记表'!AB102/'18年合同登记表'!$M102</f>
        <v>0</v>
      </c>
      <c r="W82" s="122">
        <f>客服部最终提成计算表!$X84*0.15*0.8*0.08*'18年合同登记表'!AB102/'18年合同登记表'!$M102</f>
        <v>0</v>
      </c>
      <c r="X82" s="122">
        <f>客服部最终提成计算表!$X84*0.15*0.8*0.05*'18年合同登记表'!AB102/'18年合同登记表'!$M102</f>
        <v>0</v>
      </c>
      <c r="Y82" s="122">
        <f>客服部最终提成计算表!$X84*0.15*0.8*0.02*'18年合同登记表'!AB102/'18年合同登记表'!$M102</f>
        <v>0</v>
      </c>
      <c r="Z82" s="122">
        <f>客服部最终提成计算表!$X84*0.15*0.8*0.85*'18年合同登记表'!AD102/'18年合同登记表'!$M102</f>
        <v>0</v>
      </c>
      <c r="AA82" s="122">
        <f>客服部最终提成计算表!$X84*0.15*0.8*0.08*'18年合同登记表'!AD102/'18年合同登记表'!$M102</f>
        <v>0</v>
      </c>
      <c r="AB82" s="122">
        <f>客服部最终提成计算表!$X84*0.15*0.8*0.05*'18年合同登记表'!AD102/'18年合同登记表'!$M102</f>
        <v>0</v>
      </c>
      <c r="AC82" s="122">
        <f>客服部最终提成计算表!$X84*0.15*0.8*0.02*'18年合同登记表'!AD102/'18年合同登记表'!$M102</f>
        <v>0</v>
      </c>
      <c r="AD82" s="122">
        <f>客服部最终提成计算表!$X84*0.15*0.8*0.85*'18年合同登记表'!AF102/'18年合同登记表'!$M102</f>
        <v>0</v>
      </c>
      <c r="AE82" s="122">
        <f>客服部最终提成计算表!$X84*0.15*0.8*0.08*'18年合同登记表'!AF102/'18年合同登记表'!$M102</f>
        <v>0</v>
      </c>
      <c r="AF82" s="122">
        <f>客服部最终提成计算表!$X84*0.15*0.8*0.05*'18年合同登记表'!AF102/'18年合同登记表'!$M102</f>
        <v>0</v>
      </c>
      <c r="AG82" s="122">
        <f>客服部最终提成计算表!$X84*0.15*0.8*0.02*'18年合同登记表'!AF102/'18年合同登记表'!$M102</f>
        <v>0</v>
      </c>
      <c r="AH82" s="122">
        <f>客服部最终提成计算表!$X84*0.15*0.8*0.85*'18年合同登记表'!AH102/'18年合同登记表'!$M102</f>
        <v>0</v>
      </c>
      <c r="AI82" s="122">
        <f>客服部最终提成计算表!$X84*0.15*0.8*0.08*'18年合同登记表'!AH102/'18年合同登记表'!$M102</f>
        <v>0</v>
      </c>
      <c r="AJ82" s="122">
        <f>客服部最终提成计算表!$X84*0.15*0.8*0.05*'18年合同登记表'!AH102/'18年合同登记表'!$M102</f>
        <v>0</v>
      </c>
      <c r="AK82" s="122">
        <f>客服部最终提成计算表!$X84*0.15*0.8*0.02*'18年合同登记表'!AH102/'18年合同登记表'!$M102</f>
        <v>0</v>
      </c>
      <c r="AL82" s="122">
        <f>客服部最终提成计算表!$X84*0.15*0.8*0.85*'18年合同登记表'!AJ102/'18年合同登记表'!$M102</f>
        <v>0</v>
      </c>
      <c r="AM82" s="122">
        <f>客服部最终提成计算表!$X84*0.15*0.8*0.08*'18年合同登记表'!AJ102/'18年合同登记表'!$M102</f>
        <v>0</v>
      </c>
      <c r="AN82" s="122">
        <f>客服部最终提成计算表!$X84*0.15*0.8*0.05*'18年合同登记表'!AJ102/'18年合同登记表'!$M102</f>
        <v>0</v>
      </c>
      <c r="AO82" s="122">
        <f>客服部最终提成计算表!$X84*0.15*0.8*0.02*'18年合同登记表'!AJ102/'18年合同登记表'!$M102</f>
        <v>0</v>
      </c>
      <c r="AP82" s="122">
        <f>客服部最终提成计算表!$X84*0.15*0.8*0.85*'18年合同登记表'!AL102/'18年合同登记表'!$M102</f>
        <v>0</v>
      </c>
      <c r="AQ82" s="122">
        <f>客服部最终提成计算表!$X84*0.15*0.8*0.08*'18年合同登记表'!AL102/'18年合同登记表'!$M102</f>
        <v>0</v>
      </c>
      <c r="AR82" s="122">
        <f>客服部最终提成计算表!$X84*0.15*0.8*0.05*'18年合同登记表'!AL102/'18年合同登记表'!$M102</f>
        <v>0</v>
      </c>
      <c r="AS82" s="122">
        <f>客服部最终提成计算表!$X84*0.15*0.8*0.02*'18年合同登记表'!AL102/'18年合同登记表'!$M102</f>
        <v>0</v>
      </c>
      <c r="AT82" s="122">
        <f>客服部最终提成计算表!$X84*0.15*0.8*0.85*'18年合同登记表'!AN102/'18年合同登记表'!$M102</f>
        <v>8874</v>
      </c>
      <c r="AU82" s="122">
        <f>客服部最终提成计算表!$X84*0.15*0.8*0.08*'18年合同登记表'!AN102/'18年合同登记表'!$M102</f>
        <v>835.2</v>
      </c>
      <c r="AV82" s="122">
        <f>客服部最终提成计算表!$X84*0.15*0.8*0.05*'18年合同登记表'!AN102/'18年合同登记表'!$M102</f>
        <v>522</v>
      </c>
      <c r="AW82" s="122">
        <f>客服部最终提成计算表!$X84*0.15*0.8*0.02*'18年合同登记表'!AN102/'18年合同登记表'!$M102</f>
        <v>208.8</v>
      </c>
      <c r="AX82" s="122">
        <f>客服部最终提成计算表!$X84*0.15*0.8*0.85*'18年合同登记表'!AP102/'18年合同登记表'!$M102</f>
        <v>0</v>
      </c>
      <c r="AY82" s="122">
        <f>客服部最终提成计算表!$X84*0.15*0.8*0.08*'18年合同登记表'!AP102/'18年合同登记表'!$M102</f>
        <v>0</v>
      </c>
      <c r="AZ82" s="122">
        <f>客服部最终提成计算表!$X84*0.15*0.8*0.05*'18年合同登记表'!AP102/'18年合同登记表'!$M102</f>
        <v>0</v>
      </c>
      <c r="BA82" s="131">
        <f>客服部最终提成计算表!$X84*0.15*0.8*0.02*'18年合同登记表'!AP102/'18年合同登记表'!$M102</f>
        <v>0</v>
      </c>
    </row>
    <row r="83" s="104" customFormat="1" ht="14.25" spans="1:53">
      <c r="A83" s="117"/>
      <c r="B83" s="118" t="str">
        <f>'18年合同登记表'!F103</f>
        <v>都会国际</v>
      </c>
      <c r="C83" s="119" t="str">
        <f>'18年合同登记表'!H103</f>
        <v>NHY-20180528-W-01-01-049</v>
      </c>
      <c r="D83" s="119" t="str">
        <f>'18年合同登记表'!I103</f>
        <v>离心机冷凝器化学清洗</v>
      </c>
      <c r="E83" s="120" t="str">
        <f>'18年合同登记表'!L103</f>
        <v>徐利斌</v>
      </c>
      <c r="F83" s="121">
        <f>客服部最终提成计算表!$X85*0.15*0.8*0.85*'18年合同登记表'!T103/'18年合同登记表'!$M103</f>
        <v>0</v>
      </c>
      <c r="G83" s="122">
        <f>客服部最终提成计算表!$X85*0.15*0.8*0.08*'18年合同登记表'!T103/'18年合同登记表'!$M103</f>
        <v>0</v>
      </c>
      <c r="H83" s="122">
        <f>客服部最终提成计算表!$X85*0.15*0.8*0.05*'18年合同登记表'!T103/'18年合同登记表'!$M103</f>
        <v>0</v>
      </c>
      <c r="I83" s="122">
        <f>客服部最终提成计算表!$X85*0.15*0.8*0.02*'18年合同登记表'!T103/'18年合同登记表'!$M103</f>
        <v>0</v>
      </c>
      <c r="J83" s="122">
        <f>客服部最终提成计算表!$X85*0.15*0.8*0.85*'18年合同登记表'!V103/'18年合同登记表'!$M103</f>
        <v>0</v>
      </c>
      <c r="K83" s="122">
        <f>客服部最终提成计算表!$X85*0.15*0.8*0.08*'18年合同登记表'!V103/'18年合同登记表'!$M103</f>
        <v>0</v>
      </c>
      <c r="L83" s="122">
        <f>客服部最终提成计算表!$X85*0.15*0.8*0.05*'18年合同登记表'!V103/'18年合同登记表'!$M103</f>
        <v>0</v>
      </c>
      <c r="M83" s="122">
        <f>客服部最终提成计算表!$X85*0.15*0.8*0.02*'18年合同登记表'!V103/'18年合同登记表'!$M103</f>
        <v>0</v>
      </c>
      <c r="N83" s="122">
        <f>客服部最终提成计算表!$X85*0.15*0.8*0.85*'18年合同登记表'!X103/'18年合同登记表'!$M103</f>
        <v>0</v>
      </c>
      <c r="O83" s="122">
        <f>客服部最终提成计算表!$X85*0.15*0.8*0.08*'18年合同登记表'!X103/'18年合同登记表'!$M103</f>
        <v>0</v>
      </c>
      <c r="P83" s="122">
        <f>客服部最终提成计算表!$X85*0.15*0.8*0.05*'18年合同登记表'!X103/'18年合同登记表'!$M103</f>
        <v>0</v>
      </c>
      <c r="Q83" s="122">
        <f>客服部最终提成计算表!$X85*0.15*0.8*0.02*'18年合同登记表'!X103/'18年合同登记表'!$M103</f>
        <v>0</v>
      </c>
      <c r="R83" s="122">
        <f>客服部最终提成计算表!$X85*0.15*0.8*0.85*'18年合同登记表'!Z103/'18年合同登记表'!$M103</f>
        <v>0</v>
      </c>
      <c r="S83" s="122">
        <f>客服部最终提成计算表!$X85*0.15*0.8*0.08*'18年合同登记表'!Z103/'18年合同登记表'!$M103</f>
        <v>0</v>
      </c>
      <c r="T83" s="122">
        <f>客服部最终提成计算表!$X85*0.15*0.8*0.05*'18年合同登记表'!Z103/'18年合同登记表'!$M103</f>
        <v>0</v>
      </c>
      <c r="U83" s="122">
        <f>客服部最终提成计算表!$X85*0.15*0.8*0.02*'18年合同登记表'!Z103/'18年合同登记表'!$M103</f>
        <v>0</v>
      </c>
      <c r="V83" s="122">
        <f>客服部最终提成计算表!$X85*0.15*0.8*0.85*'18年合同登记表'!AB103/'18年合同登记表'!$M103</f>
        <v>0</v>
      </c>
      <c r="W83" s="122">
        <f>客服部最终提成计算表!$X85*0.15*0.8*0.08*'18年合同登记表'!AB103/'18年合同登记表'!$M103</f>
        <v>0</v>
      </c>
      <c r="X83" s="122">
        <f>客服部最终提成计算表!$X85*0.15*0.8*0.05*'18年合同登记表'!AB103/'18年合同登记表'!$M103</f>
        <v>0</v>
      </c>
      <c r="Y83" s="122">
        <f>客服部最终提成计算表!$X85*0.15*0.8*0.02*'18年合同登记表'!AB103/'18年合同登记表'!$M103</f>
        <v>0</v>
      </c>
      <c r="Z83" s="122">
        <f>客服部最终提成计算表!$X85*0.15*0.8*0.85*'18年合同登记表'!AD103/'18年合同登记表'!$M103</f>
        <v>0</v>
      </c>
      <c r="AA83" s="122">
        <f>客服部最终提成计算表!$X85*0.15*0.8*0.08*'18年合同登记表'!AD103/'18年合同登记表'!$M103</f>
        <v>0</v>
      </c>
      <c r="AB83" s="122">
        <f>客服部最终提成计算表!$X85*0.15*0.8*0.05*'18年合同登记表'!AD103/'18年合同登记表'!$M103</f>
        <v>0</v>
      </c>
      <c r="AC83" s="122">
        <f>客服部最终提成计算表!$X85*0.15*0.8*0.02*'18年合同登记表'!AD103/'18年合同登记表'!$M103</f>
        <v>0</v>
      </c>
      <c r="AD83" s="122">
        <f>客服部最终提成计算表!$X85*0.15*0.8*0.85*'18年合同登记表'!AF103/'18年合同登记表'!$M103</f>
        <v>816</v>
      </c>
      <c r="AE83" s="122">
        <f>客服部最终提成计算表!$X85*0.15*0.8*0.08*'18年合同登记表'!AF103/'18年合同登记表'!$M103</f>
        <v>76.8</v>
      </c>
      <c r="AF83" s="122">
        <f>客服部最终提成计算表!$X85*0.15*0.8*0.05*'18年合同登记表'!AF103/'18年合同登记表'!$M103</f>
        <v>48</v>
      </c>
      <c r="AG83" s="122">
        <f>客服部最终提成计算表!$X85*0.15*0.8*0.02*'18年合同登记表'!AF103/'18年合同登记表'!$M103</f>
        <v>19.2</v>
      </c>
      <c r="AH83" s="122">
        <f>客服部最终提成计算表!$X85*0.15*0.8*0.85*'18年合同登记表'!AH103/'18年合同登记表'!$M103</f>
        <v>0</v>
      </c>
      <c r="AI83" s="122">
        <f>客服部最终提成计算表!$X85*0.15*0.8*0.08*'18年合同登记表'!AH103/'18年合同登记表'!$M103</f>
        <v>0</v>
      </c>
      <c r="AJ83" s="122">
        <f>客服部最终提成计算表!$X85*0.15*0.8*0.05*'18年合同登记表'!AH103/'18年合同登记表'!$M103</f>
        <v>0</v>
      </c>
      <c r="AK83" s="122">
        <f>客服部最终提成计算表!$X85*0.15*0.8*0.02*'18年合同登记表'!AH103/'18年合同登记表'!$M103</f>
        <v>0</v>
      </c>
      <c r="AL83" s="122">
        <f>客服部最终提成计算表!$X85*0.15*0.8*0.85*'18年合同登记表'!AJ103/'18年合同登记表'!$M103</f>
        <v>0</v>
      </c>
      <c r="AM83" s="122">
        <f>客服部最终提成计算表!$X85*0.15*0.8*0.08*'18年合同登记表'!AJ103/'18年合同登记表'!$M103</f>
        <v>0</v>
      </c>
      <c r="AN83" s="122">
        <f>客服部最终提成计算表!$X85*0.15*0.8*0.05*'18年合同登记表'!AJ103/'18年合同登记表'!$M103</f>
        <v>0</v>
      </c>
      <c r="AO83" s="122">
        <f>客服部最终提成计算表!$X85*0.15*0.8*0.02*'18年合同登记表'!AJ103/'18年合同登记表'!$M103</f>
        <v>0</v>
      </c>
      <c r="AP83" s="122">
        <f>客服部最终提成计算表!$X85*0.15*0.8*0.85*'18年合同登记表'!AL103/'18年合同登记表'!$M103</f>
        <v>0</v>
      </c>
      <c r="AQ83" s="122">
        <f>客服部最终提成计算表!$X85*0.15*0.8*0.08*'18年合同登记表'!AL103/'18年合同登记表'!$M103</f>
        <v>0</v>
      </c>
      <c r="AR83" s="122">
        <f>客服部最终提成计算表!$X85*0.15*0.8*0.05*'18年合同登记表'!AL103/'18年合同登记表'!$M103</f>
        <v>0</v>
      </c>
      <c r="AS83" s="122">
        <f>客服部最终提成计算表!$X85*0.15*0.8*0.02*'18年合同登记表'!AL103/'18年合同登记表'!$M103</f>
        <v>0</v>
      </c>
      <c r="AT83" s="122">
        <f>客服部最终提成计算表!$X85*0.15*0.8*0.85*'18年合同登记表'!AN103/'18年合同登记表'!$M103</f>
        <v>0</v>
      </c>
      <c r="AU83" s="122">
        <f>客服部最终提成计算表!$X85*0.15*0.8*0.08*'18年合同登记表'!AN103/'18年合同登记表'!$M103</f>
        <v>0</v>
      </c>
      <c r="AV83" s="122">
        <f>客服部最终提成计算表!$X85*0.15*0.8*0.05*'18年合同登记表'!AN103/'18年合同登记表'!$M103</f>
        <v>0</v>
      </c>
      <c r="AW83" s="122">
        <f>客服部最终提成计算表!$X85*0.15*0.8*0.02*'18年合同登记表'!AN103/'18年合同登记表'!$M103</f>
        <v>0</v>
      </c>
      <c r="AX83" s="122">
        <f>客服部最终提成计算表!$X85*0.15*0.8*0.85*'18年合同登记表'!AP103/'18年合同登记表'!$M103</f>
        <v>0</v>
      </c>
      <c r="AY83" s="122">
        <f>客服部最终提成计算表!$X85*0.15*0.8*0.08*'18年合同登记表'!AP103/'18年合同登记表'!$M103</f>
        <v>0</v>
      </c>
      <c r="AZ83" s="122">
        <f>客服部最终提成计算表!$X85*0.15*0.8*0.05*'18年合同登记表'!AP103/'18年合同登记表'!$M103</f>
        <v>0</v>
      </c>
      <c r="BA83" s="131">
        <f>客服部最终提成计算表!$X85*0.15*0.8*0.02*'18年合同登记表'!AP103/'18年合同登记表'!$M103</f>
        <v>0</v>
      </c>
    </row>
    <row r="84" s="104" customFormat="1" ht="14.25" spans="1:53">
      <c r="A84" s="117"/>
      <c r="B84" s="118" t="str">
        <f>'18年合同登记表'!F104</f>
        <v>百川燃气</v>
      </c>
      <c r="C84" s="119" t="str">
        <f>'18年合同登记表'!H104</f>
        <v>NHY-20180718-L-01-01-049</v>
      </c>
      <c r="D84" s="119" t="str">
        <f>'18年合同登记表'!I104</f>
        <v>冷却塔更换电机、风扇轴承、冷却塔填料布水盘清洗项目</v>
      </c>
      <c r="E84" s="120" t="str">
        <f>'18年合同登记表'!L104</f>
        <v>陈勇</v>
      </c>
      <c r="F84" s="121">
        <f>客服部最终提成计算表!$X86*0.15*0.8*0.85*'18年合同登记表'!T104/'18年合同登记表'!$M104</f>
        <v>0</v>
      </c>
      <c r="G84" s="122">
        <f>客服部最终提成计算表!$X86*0.15*0.8*0.08*'18年合同登记表'!T104/'18年合同登记表'!$M104</f>
        <v>0</v>
      </c>
      <c r="H84" s="122">
        <f>客服部最终提成计算表!$X86*0.15*0.8*0.05*'18年合同登记表'!T104/'18年合同登记表'!$M104</f>
        <v>0</v>
      </c>
      <c r="I84" s="122">
        <f>客服部最终提成计算表!$X86*0.15*0.8*0.02*'18年合同登记表'!T104/'18年合同登记表'!$M104</f>
        <v>0</v>
      </c>
      <c r="J84" s="122">
        <f>客服部最终提成计算表!$X86*0.15*0.8*0.85*'18年合同登记表'!V104/'18年合同登记表'!$M104</f>
        <v>0</v>
      </c>
      <c r="K84" s="122">
        <f>客服部最终提成计算表!$X86*0.15*0.8*0.08*'18年合同登记表'!V104/'18年合同登记表'!$M104</f>
        <v>0</v>
      </c>
      <c r="L84" s="122">
        <f>客服部最终提成计算表!$X86*0.15*0.8*0.05*'18年合同登记表'!V104/'18年合同登记表'!$M104</f>
        <v>0</v>
      </c>
      <c r="M84" s="122">
        <f>客服部最终提成计算表!$X86*0.15*0.8*0.02*'18年合同登记表'!V104/'18年合同登记表'!$M104</f>
        <v>0</v>
      </c>
      <c r="N84" s="122">
        <f>客服部最终提成计算表!$X86*0.15*0.8*0.85*'18年合同登记表'!X104/'18年合同登记表'!$M104</f>
        <v>0</v>
      </c>
      <c r="O84" s="122">
        <f>客服部最终提成计算表!$X86*0.15*0.8*0.08*'18年合同登记表'!X104/'18年合同登记表'!$M104</f>
        <v>0</v>
      </c>
      <c r="P84" s="122">
        <f>客服部最终提成计算表!$X86*0.15*0.8*0.05*'18年合同登记表'!X104/'18年合同登记表'!$M104</f>
        <v>0</v>
      </c>
      <c r="Q84" s="122">
        <f>客服部最终提成计算表!$X86*0.15*0.8*0.02*'18年合同登记表'!X104/'18年合同登记表'!$M104</f>
        <v>0</v>
      </c>
      <c r="R84" s="122">
        <f>客服部最终提成计算表!$X86*0.15*0.8*0.85*'18年合同登记表'!Z104/'18年合同登记表'!$M104</f>
        <v>0</v>
      </c>
      <c r="S84" s="122">
        <f>客服部最终提成计算表!$X86*0.15*0.8*0.08*'18年合同登记表'!Z104/'18年合同登记表'!$M104</f>
        <v>0</v>
      </c>
      <c r="T84" s="122">
        <f>客服部最终提成计算表!$X86*0.15*0.8*0.05*'18年合同登记表'!Z104/'18年合同登记表'!$M104</f>
        <v>0</v>
      </c>
      <c r="U84" s="122">
        <f>客服部最终提成计算表!$X86*0.15*0.8*0.02*'18年合同登记表'!Z104/'18年合同登记表'!$M104</f>
        <v>0</v>
      </c>
      <c r="V84" s="122">
        <f>客服部最终提成计算表!$X86*0.15*0.8*0.85*'18年合同登记表'!AB104/'18年合同登记表'!$M104</f>
        <v>0</v>
      </c>
      <c r="W84" s="122">
        <f>客服部最终提成计算表!$X86*0.15*0.8*0.08*'18年合同登记表'!AB104/'18年合同登记表'!$M104</f>
        <v>0</v>
      </c>
      <c r="X84" s="122">
        <f>客服部最终提成计算表!$X86*0.15*0.8*0.05*'18年合同登记表'!AB104/'18年合同登记表'!$M104</f>
        <v>0</v>
      </c>
      <c r="Y84" s="122">
        <f>客服部最终提成计算表!$X86*0.15*0.8*0.02*'18年合同登记表'!AB104/'18年合同登记表'!$M104</f>
        <v>0</v>
      </c>
      <c r="Z84" s="122">
        <f>客服部最终提成计算表!$X86*0.15*0.8*0.85*'18年合同登记表'!AD104/'18年合同登记表'!$M104</f>
        <v>1999.2</v>
      </c>
      <c r="AA84" s="122">
        <f>客服部最终提成计算表!$X86*0.15*0.8*0.08*'18年合同登记表'!AD104/'18年合同登记表'!$M104</f>
        <v>188.16</v>
      </c>
      <c r="AB84" s="122">
        <f>客服部最终提成计算表!$X86*0.15*0.8*0.05*'18年合同登记表'!AD104/'18年合同登记表'!$M104</f>
        <v>117.6</v>
      </c>
      <c r="AC84" s="122">
        <f>客服部最终提成计算表!$X86*0.15*0.8*0.02*'18年合同登记表'!AD104/'18年合同登记表'!$M104</f>
        <v>47.04</v>
      </c>
      <c r="AD84" s="122">
        <f>客服部最终提成计算表!$X86*0.15*0.8*0.85*'18年合同登记表'!AF104/'18年合同登记表'!$M104</f>
        <v>0</v>
      </c>
      <c r="AE84" s="122">
        <f>客服部最终提成计算表!$X86*0.15*0.8*0.08*'18年合同登记表'!AF104/'18年合同登记表'!$M104</f>
        <v>0</v>
      </c>
      <c r="AF84" s="122">
        <f>客服部最终提成计算表!$X86*0.15*0.8*0.05*'18年合同登记表'!AF104/'18年合同登记表'!$M104</f>
        <v>0</v>
      </c>
      <c r="AG84" s="122">
        <f>客服部最终提成计算表!$X86*0.15*0.8*0.02*'18年合同登记表'!AF104/'18年合同登记表'!$M104</f>
        <v>0</v>
      </c>
      <c r="AH84" s="122">
        <f>客服部最终提成计算表!$X86*0.15*0.8*0.85*'18年合同登记表'!AH104/'18年合同登记表'!$M104</f>
        <v>0</v>
      </c>
      <c r="AI84" s="122">
        <f>客服部最终提成计算表!$X86*0.15*0.8*0.08*'18年合同登记表'!AH104/'18年合同登记表'!$M104</f>
        <v>0</v>
      </c>
      <c r="AJ84" s="122">
        <f>客服部最终提成计算表!$X86*0.15*0.8*0.05*'18年合同登记表'!AH104/'18年合同登记表'!$M104</f>
        <v>0</v>
      </c>
      <c r="AK84" s="122">
        <f>客服部最终提成计算表!$X86*0.15*0.8*0.02*'18年合同登记表'!AH104/'18年合同登记表'!$M104</f>
        <v>0</v>
      </c>
      <c r="AL84" s="122">
        <f>客服部最终提成计算表!$X86*0.15*0.8*0.85*'18年合同登记表'!AJ104/'18年合同登记表'!$M104</f>
        <v>0</v>
      </c>
      <c r="AM84" s="122">
        <f>客服部最终提成计算表!$X86*0.15*0.8*0.08*'18年合同登记表'!AJ104/'18年合同登记表'!$M104</f>
        <v>0</v>
      </c>
      <c r="AN84" s="122">
        <f>客服部最终提成计算表!$X86*0.15*0.8*0.05*'18年合同登记表'!AJ104/'18年合同登记表'!$M104</f>
        <v>0</v>
      </c>
      <c r="AO84" s="122">
        <f>客服部最终提成计算表!$X86*0.15*0.8*0.02*'18年合同登记表'!AJ104/'18年合同登记表'!$M104</f>
        <v>0</v>
      </c>
      <c r="AP84" s="122">
        <f>客服部最终提成计算表!$X86*0.15*0.8*0.85*'18年合同登记表'!AL104/'18年合同登记表'!$M104</f>
        <v>0</v>
      </c>
      <c r="AQ84" s="122">
        <f>客服部最终提成计算表!$X86*0.15*0.8*0.08*'18年合同登记表'!AL104/'18年合同登记表'!$M104</f>
        <v>0</v>
      </c>
      <c r="AR84" s="122">
        <f>客服部最终提成计算表!$X86*0.15*0.8*0.05*'18年合同登记表'!AL104/'18年合同登记表'!$M104</f>
        <v>0</v>
      </c>
      <c r="AS84" s="122">
        <f>客服部最终提成计算表!$X86*0.15*0.8*0.02*'18年合同登记表'!AL104/'18年合同登记表'!$M104</f>
        <v>0</v>
      </c>
      <c r="AT84" s="122">
        <f>客服部最终提成计算表!$X86*0.15*0.8*0.85*'18年合同登记表'!AN104/'18年合同登记表'!$M104</f>
        <v>0</v>
      </c>
      <c r="AU84" s="122">
        <f>客服部最终提成计算表!$X86*0.15*0.8*0.08*'18年合同登记表'!AN104/'18年合同登记表'!$M104</f>
        <v>0</v>
      </c>
      <c r="AV84" s="122">
        <f>客服部最终提成计算表!$X86*0.15*0.8*0.05*'18年合同登记表'!AN104/'18年合同登记表'!$M104</f>
        <v>0</v>
      </c>
      <c r="AW84" s="122">
        <f>客服部最终提成计算表!$X86*0.15*0.8*0.02*'18年合同登记表'!AN104/'18年合同登记表'!$M104</f>
        <v>0</v>
      </c>
      <c r="AX84" s="122">
        <f>客服部最终提成计算表!$X86*0.15*0.8*0.85*'18年合同登记表'!AP104/'18年合同登记表'!$M104</f>
        <v>0</v>
      </c>
      <c r="AY84" s="122">
        <f>客服部最终提成计算表!$X86*0.15*0.8*0.08*'18年合同登记表'!AP104/'18年合同登记表'!$M104</f>
        <v>0</v>
      </c>
      <c r="AZ84" s="122">
        <f>客服部最终提成计算表!$X86*0.15*0.8*0.05*'18年合同登记表'!AP104/'18年合同登记表'!$M104</f>
        <v>0</v>
      </c>
      <c r="BA84" s="131">
        <f>客服部最终提成计算表!$X86*0.15*0.8*0.02*'18年合同登记表'!AP104/'18年合同登记表'!$M104</f>
        <v>0</v>
      </c>
    </row>
    <row r="85" s="104" customFormat="1" ht="14.25" spans="1:53">
      <c r="A85" s="117"/>
      <c r="B85" s="118" t="str">
        <f>'18年合同登记表'!F105</f>
        <v>燕郊印刷厂</v>
      </c>
      <c r="C85" s="119" t="str">
        <f>'18年合同登记表'!H105</f>
        <v>NHY-20180716-L-01-01-030</v>
      </c>
      <c r="D85" s="119" t="str">
        <f>'18年合同登记表'!I105</f>
        <v>离心机冷凝器清洗预膜</v>
      </c>
      <c r="E85" s="120" t="str">
        <f>'18年合同登记表'!L105</f>
        <v>陈勇</v>
      </c>
      <c r="F85" s="121">
        <f>客服部最终提成计算表!$X87*0.15*0.8*0.85*'18年合同登记表'!T105/'18年合同登记表'!$M105</f>
        <v>0</v>
      </c>
      <c r="G85" s="122">
        <f>客服部最终提成计算表!$X87*0.15*0.8*0.08*'18年合同登记表'!T105/'18年合同登记表'!$M105</f>
        <v>0</v>
      </c>
      <c r="H85" s="122">
        <f>客服部最终提成计算表!$X87*0.15*0.8*0.05*'18年合同登记表'!T105/'18年合同登记表'!$M105</f>
        <v>0</v>
      </c>
      <c r="I85" s="122">
        <f>客服部最终提成计算表!$X87*0.15*0.8*0.02*'18年合同登记表'!T105/'18年合同登记表'!$M105</f>
        <v>0</v>
      </c>
      <c r="J85" s="122">
        <f>客服部最终提成计算表!$X87*0.15*0.8*0.85*'18年合同登记表'!V105/'18年合同登记表'!$M105</f>
        <v>0</v>
      </c>
      <c r="K85" s="122">
        <f>客服部最终提成计算表!$X87*0.15*0.8*0.08*'18年合同登记表'!V105/'18年合同登记表'!$M105</f>
        <v>0</v>
      </c>
      <c r="L85" s="122">
        <f>客服部最终提成计算表!$X87*0.15*0.8*0.05*'18年合同登记表'!V105/'18年合同登记表'!$M105</f>
        <v>0</v>
      </c>
      <c r="M85" s="122">
        <f>客服部最终提成计算表!$X87*0.15*0.8*0.02*'18年合同登记表'!V105/'18年合同登记表'!$M105</f>
        <v>0</v>
      </c>
      <c r="N85" s="122">
        <f>客服部最终提成计算表!$X87*0.15*0.8*0.85*'18年合同登记表'!X105/'18年合同登记表'!$M105</f>
        <v>0</v>
      </c>
      <c r="O85" s="122">
        <f>客服部最终提成计算表!$X87*0.15*0.8*0.08*'18年合同登记表'!X105/'18年合同登记表'!$M105</f>
        <v>0</v>
      </c>
      <c r="P85" s="122">
        <f>客服部最终提成计算表!$X87*0.15*0.8*0.05*'18年合同登记表'!X105/'18年合同登记表'!$M105</f>
        <v>0</v>
      </c>
      <c r="Q85" s="122">
        <f>客服部最终提成计算表!$X87*0.15*0.8*0.02*'18年合同登记表'!X105/'18年合同登记表'!$M105</f>
        <v>0</v>
      </c>
      <c r="R85" s="122">
        <f>客服部最终提成计算表!$X87*0.15*0.8*0.85*'18年合同登记表'!Z105/'18年合同登记表'!$M105</f>
        <v>0</v>
      </c>
      <c r="S85" s="122">
        <f>客服部最终提成计算表!$X87*0.15*0.8*0.08*'18年合同登记表'!Z105/'18年合同登记表'!$M105</f>
        <v>0</v>
      </c>
      <c r="T85" s="122">
        <f>客服部最终提成计算表!$X87*0.15*0.8*0.05*'18年合同登记表'!Z105/'18年合同登记表'!$M105</f>
        <v>0</v>
      </c>
      <c r="U85" s="122">
        <f>客服部最终提成计算表!$X87*0.15*0.8*0.02*'18年合同登记表'!Z105/'18年合同登记表'!$M105</f>
        <v>0</v>
      </c>
      <c r="V85" s="122">
        <f>客服部最终提成计算表!$X87*0.15*0.8*0.85*'18年合同登记表'!AB105/'18年合同登记表'!$M105</f>
        <v>0</v>
      </c>
      <c r="W85" s="122">
        <f>客服部最终提成计算表!$X87*0.15*0.8*0.08*'18年合同登记表'!AB105/'18年合同登记表'!$M105</f>
        <v>0</v>
      </c>
      <c r="X85" s="122">
        <f>客服部最终提成计算表!$X87*0.15*0.8*0.05*'18年合同登记表'!AB105/'18年合同登记表'!$M105</f>
        <v>0</v>
      </c>
      <c r="Y85" s="122">
        <f>客服部最终提成计算表!$X87*0.15*0.8*0.02*'18年合同登记表'!AB105/'18年合同登记表'!$M105</f>
        <v>0</v>
      </c>
      <c r="Z85" s="122">
        <f>客服部最终提成计算表!$X87*0.15*0.8*0.85*'18年合同登记表'!AD105/'18年合同登记表'!$M105</f>
        <v>0</v>
      </c>
      <c r="AA85" s="122">
        <f>客服部最终提成计算表!$X87*0.15*0.8*0.08*'18年合同登记表'!AD105/'18年合同登记表'!$M105</f>
        <v>0</v>
      </c>
      <c r="AB85" s="122">
        <f>客服部最终提成计算表!$X87*0.15*0.8*0.05*'18年合同登记表'!AD105/'18年合同登记表'!$M105</f>
        <v>0</v>
      </c>
      <c r="AC85" s="122">
        <f>客服部最终提成计算表!$X87*0.15*0.8*0.02*'18年合同登记表'!AD105/'18年合同登记表'!$M105</f>
        <v>0</v>
      </c>
      <c r="AD85" s="122">
        <f>客服部最终提成计算表!$X87*0.15*0.8*0.85*'18年合同登记表'!AF105/'18年合同登记表'!$M105</f>
        <v>0</v>
      </c>
      <c r="AE85" s="122">
        <f>客服部最终提成计算表!$X87*0.15*0.8*0.08*'18年合同登记表'!AF105/'18年合同登记表'!$M105</f>
        <v>0</v>
      </c>
      <c r="AF85" s="122">
        <f>客服部最终提成计算表!$X87*0.15*0.8*0.05*'18年合同登记表'!AF105/'18年合同登记表'!$M105</f>
        <v>0</v>
      </c>
      <c r="AG85" s="122">
        <f>客服部最终提成计算表!$X87*0.15*0.8*0.02*'18年合同登记表'!AF105/'18年合同登记表'!$M105</f>
        <v>0</v>
      </c>
      <c r="AH85" s="122">
        <f>客服部最终提成计算表!$X87*0.15*0.8*0.85*'18年合同登记表'!AH105/'18年合同登记表'!$M105</f>
        <v>0</v>
      </c>
      <c r="AI85" s="122">
        <f>客服部最终提成计算表!$X87*0.15*0.8*0.08*'18年合同登记表'!AH105/'18年合同登记表'!$M105</f>
        <v>0</v>
      </c>
      <c r="AJ85" s="122">
        <f>客服部最终提成计算表!$X87*0.15*0.8*0.05*'18年合同登记表'!AH105/'18年合同登记表'!$M105</f>
        <v>0</v>
      </c>
      <c r="AK85" s="122">
        <f>客服部最终提成计算表!$X87*0.15*0.8*0.02*'18年合同登记表'!AH105/'18年合同登记表'!$M105</f>
        <v>0</v>
      </c>
      <c r="AL85" s="122">
        <f>客服部最终提成计算表!$X87*0.15*0.8*0.85*'18年合同登记表'!AJ105/'18年合同登记表'!$M105</f>
        <v>0</v>
      </c>
      <c r="AM85" s="122">
        <f>客服部最终提成计算表!$X87*0.15*0.8*0.08*'18年合同登记表'!AJ105/'18年合同登记表'!$M105</f>
        <v>0</v>
      </c>
      <c r="AN85" s="122">
        <f>客服部最终提成计算表!$X87*0.15*0.8*0.05*'18年合同登记表'!AJ105/'18年合同登记表'!$M105</f>
        <v>0</v>
      </c>
      <c r="AO85" s="122">
        <f>客服部最终提成计算表!$X87*0.15*0.8*0.02*'18年合同登记表'!AJ105/'18年合同登记表'!$M105</f>
        <v>0</v>
      </c>
      <c r="AP85" s="122">
        <f>客服部最终提成计算表!$X87*0.15*0.8*0.85*'18年合同登记表'!AL105/'18年合同登记表'!$M105</f>
        <v>0</v>
      </c>
      <c r="AQ85" s="122">
        <f>客服部最终提成计算表!$X87*0.15*0.8*0.08*'18年合同登记表'!AL105/'18年合同登记表'!$M105</f>
        <v>0</v>
      </c>
      <c r="AR85" s="122">
        <f>客服部最终提成计算表!$X87*0.15*0.8*0.05*'18年合同登记表'!AL105/'18年合同登记表'!$M105</f>
        <v>0</v>
      </c>
      <c r="AS85" s="122">
        <f>客服部最终提成计算表!$X87*0.15*0.8*0.02*'18年合同登记表'!AL105/'18年合同登记表'!$M105</f>
        <v>0</v>
      </c>
      <c r="AT85" s="122">
        <f>客服部最终提成计算表!$X87*0.15*0.8*0.85*'18年合同登记表'!AN105/'18年合同登记表'!$M105</f>
        <v>510</v>
      </c>
      <c r="AU85" s="122">
        <f>客服部最终提成计算表!$X87*0.15*0.8*0.08*'18年合同登记表'!AN105/'18年合同登记表'!$M105</f>
        <v>48</v>
      </c>
      <c r="AV85" s="122">
        <f>客服部最终提成计算表!$X87*0.15*0.8*0.05*'18年合同登记表'!AN105/'18年合同登记表'!$M105</f>
        <v>30</v>
      </c>
      <c r="AW85" s="122">
        <f>客服部最终提成计算表!$X87*0.15*0.8*0.02*'18年合同登记表'!AN105/'18年合同登记表'!$M105</f>
        <v>12</v>
      </c>
      <c r="AX85" s="122">
        <f>客服部最终提成计算表!$X87*0.15*0.8*0.85*'18年合同登记表'!AP105/'18年合同登记表'!$M105</f>
        <v>0</v>
      </c>
      <c r="AY85" s="122">
        <f>客服部最终提成计算表!$X87*0.15*0.8*0.08*'18年合同登记表'!AP105/'18年合同登记表'!$M105</f>
        <v>0</v>
      </c>
      <c r="AZ85" s="122">
        <f>客服部最终提成计算表!$X87*0.15*0.8*0.05*'18年合同登记表'!AP105/'18年合同登记表'!$M105</f>
        <v>0</v>
      </c>
      <c r="BA85" s="131">
        <f>客服部最终提成计算表!$X87*0.15*0.8*0.02*'18年合同登记表'!AP105/'18年合同登记表'!$M105</f>
        <v>0</v>
      </c>
    </row>
    <row r="86" s="104" customFormat="1" ht="14.25" spans="1:53">
      <c r="A86" s="117"/>
      <c r="B86" s="118" t="str">
        <f>'18年合同登记表'!F106</f>
        <v>天宝新都汇</v>
      </c>
      <c r="C86" s="119" t="str">
        <f>'18年合同登记表'!H106</f>
        <v>NHY-20180718-L-01-01-030</v>
      </c>
      <c r="D86" s="119" t="str">
        <f>'18年合同登记表'!I106</f>
        <v>同方川崎直燃机吸收器、冷凝器清洗预膜</v>
      </c>
      <c r="E86" s="120" t="str">
        <f>'18年合同登记表'!L106</f>
        <v>陈勇</v>
      </c>
      <c r="F86" s="121">
        <f>客服部最终提成计算表!$X88*0.15*0.8*0.85*'18年合同登记表'!T106/'18年合同登记表'!$M106</f>
        <v>0</v>
      </c>
      <c r="G86" s="122">
        <f>客服部最终提成计算表!$X88*0.15*0.8*0.08*'18年合同登记表'!T106/'18年合同登记表'!$M106</f>
        <v>0</v>
      </c>
      <c r="H86" s="122">
        <f>客服部最终提成计算表!$X88*0.15*0.8*0.05*'18年合同登记表'!T106/'18年合同登记表'!$M106</f>
        <v>0</v>
      </c>
      <c r="I86" s="122">
        <f>客服部最终提成计算表!$X88*0.15*0.8*0.02*'18年合同登记表'!T106/'18年合同登记表'!$M106</f>
        <v>0</v>
      </c>
      <c r="J86" s="122">
        <f>客服部最终提成计算表!$X88*0.15*0.8*0.85*'18年合同登记表'!V106/'18年合同登记表'!$M106</f>
        <v>0</v>
      </c>
      <c r="K86" s="122">
        <f>客服部最终提成计算表!$X88*0.15*0.8*0.08*'18年合同登记表'!V106/'18年合同登记表'!$M106</f>
        <v>0</v>
      </c>
      <c r="L86" s="122">
        <f>客服部最终提成计算表!$X88*0.15*0.8*0.05*'18年合同登记表'!V106/'18年合同登记表'!$M106</f>
        <v>0</v>
      </c>
      <c r="M86" s="122">
        <f>客服部最终提成计算表!$X88*0.15*0.8*0.02*'18年合同登记表'!V106/'18年合同登记表'!$M106</f>
        <v>0</v>
      </c>
      <c r="N86" s="122">
        <f>客服部最终提成计算表!$X88*0.15*0.8*0.85*'18年合同登记表'!X106/'18年合同登记表'!$M106</f>
        <v>0</v>
      </c>
      <c r="O86" s="122">
        <f>客服部最终提成计算表!$X88*0.15*0.8*0.08*'18年合同登记表'!X106/'18年合同登记表'!$M106</f>
        <v>0</v>
      </c>
      <c r="P86" s="122">
        <f>客服部最终提成计算表!$X88*0.15*0.8*0.05*'18年合同登记表'!X106/'18年合同登记表'!$M106</f>
        <v>0</v>
      </c>
      <c r="Q86" s="122">
        <f>客服部最终提成计算表!$X88*0.15*0.8*0.02*'18年合同登记表'!X106/'18年合同登记表'!$M106</f>
        <v>0</v>
      </c>
      <c r="R86" s="122">
        <f>客服部最终提成计算表!$X88*0.15*0.8*0.85*'18年合同登记表'!Z106/'18年合同登记表'!$M106</f>
        <v>0</v>
      </c>
      <c r="S86" s="122">
        <f>客服部最终提成计算表!$X88*0.15*0.8*0.08*'18年合同登记表'!Z106/'18年合同登记表'!$M106</f>
        <v>0</v>
      </c>
      <c r="T86" s="122">
        <f>客服部最终提成计算表!$X88*0.15*0.8*0.05*'18年合同登记表'!Z106/'18年合同登记表'!$M106</f>
        <v>0</v>
      </c>
      <c r="U86" s="122">
        <f>客服部最终提成计算表!$X88*0.15*0.8*0.02*'18年合同登记表'!Z106/'18年合同登记表'!$M106</f>
        <v>0</v>
      </c>
      <c r="V86" s="122">
        <f>客服部最终提成计算表!$X88*0.15*0.8*0.85*'18年合同登记表'!AB106/'18年合同登记表'!$M106</f>
        <v>0</v>
      </c>
      <c r="W86" s="122">
        <f>客服部最终提成计算表!$X88*0.15*0.8*0.08*'18年合同登记表'!AB106/'18年合同登记表'!$M106</f>
        <v>0</v>
      </c>
      <c r="X86" s="122">
        <f>客服部最终提成计算表!$X88*0.15*0.8*0.05*'18年合同登记表'!AB106/'18年合同登记表'!$M106</f>
        <v>0</v>
      </c>
      <c r="Y86" s="122">
        <f>客服部最终提成计算表!$X88*0.15*0.8*0.02*'18年合同登记表'!AB106/'18年合同登记表'!$M106</f>
        <v>0</v>
      </c>
      <c r="Z86" s="122">
        <f>客服部最终提成计算表!$X88*0.15*0.8*0.85*'18年合同登记表'!AD106/'18年合同登记表'!$M106</f>
        <v>0</v>
      </c>
      <c r="AA86" s="122">
        <f>客服部最终提成计算表!$X88*0.15*0.8*0.08*'18年合同登记表'!AD106/'18年合同登记表'!$M106</f>
        <v>0</v>
      </c>
      <c r="AB86" s="122">
        <f>客服部最终提成计算表!$X88*0.15*0.8*0.05*'18年合同登记表'!AD106/'18年合同登记表'!$M106</f>
        <v>0</v>
      </c>
      <c r="AC86" s="122">
        <f>客服部最终提成计算表!$X88*0.15*0.8*0.02*'18年合同登记表'!AD106/'18年合同登记表'!$M106</f>
        <v>0</v>
      </c>
      <c r="AD86" s="122">
        <f>客服部最终提成计算表!$X88*0.15*0.8*0.85*'18年合同登记表'!AF106/'18年合同登记表'!$M106</f>
        <v>0</v>
      </c>
      <c r="AE86" s="122">
        <f>客服部最终提成计算表!$X88*0.15*0.8*0.08*'18年合同登记表'!AF106/'18年合同登记表'!$M106</f>
        <v>0</v>
      </c>
      <c r="AF86" s="122">
        <f>客服部最终提成计算表!$X88*0.15*0.8*0.05*'18年合同登记表'!AF106/'18年合同登记表'!$M106</f>
        <v>0</v>
      </c>
      <c r="AG86" s="122">
        <f>客服部最终提成计算表!$X88*0.15*0.8*0.02*'18年合同登记表'!AF106/'18年合同登记表'!$M106</f>
        <v>0</v>
      </c>
      <c r="AH86" s="122">
        <f>客服部最终提成计算表!$X88*0.15*0.8*0.85*'18年合同登记表'!AH106/'18年合同登记表'!$M106</f>
        <v>1071</v>
      </c>
      <c r="AI86" s="122">
        <f>客服部最终提成计算表!$X88*0.15*0.8*0.08*'18年合同登记表'!AH106/'18年合同登记表'!$M106</f>
        <v>100.8</v>
      </c>
      <c r="AJ86" s="122">
        <f>客服部最终提成计算表!$X88*0.15*0.8*0.05*'18年合同登记表'!AH106/'18年合同登记表'!$M106</f>
        <v>63</v>
      </c>
      <c r="AK86" s="122">
        <f>客服部最终提成计算表!$X88*0.15*0.8*0.02*'18年合同登记表'!AH106/'18年合同登记表'!$M106</f>
        <v>25.2</v>
      </c>
      <c r="AL86" s="122">
        <f>客服部最终提成计算表!$X88*0.15*0.8*0.85*'18年合同登记表'!AJ106/'18年合同登记表'!$M106</f>
        <v>0</v>
      </c>
      <c r="AM86" s="122">
        <f>客服部最终提成计算表!$X88*0.15*0.8*0.08*'18年合同登记表'!AJ106/'18年合同登记表'!$M106</f>
        <v>0</v>
      </c>
      <c r="AN86" s="122">
        <f>客服部最终提成计算表!$X88*0.15*0.8*0.05*'18年合同登记表'!AJ106/'18年合同登记表'!$M106</f>
        <v>0</v>
      </c>
      <c r="AO86" s="122">
        <f>客服部最终提成计算表!$X88*0.15*0.8*0.02*'18年合同登记表'!AJ106/'18年合同登记表'!$M106</f>
        <v>0</v>
      </c>
      <c r="AP86" s="122">
        <f>客服部最终提成计算表!$X88*0.15*0.8*0.85*'18年合同登记表'!AL106/'18年合同登记表'!$M106</f>
        <v>0</v>
      </c>
      <c r="AQ86" s="122">
        <f>客服部最终提成计算表!$X88*0.15*0.8*0.08*'18年合同登记表'!AL106/'18年合同登记表'!$M106</f>
        <v>0</v>
      </c>
      <c r="AR86" s="122">
        <f>客服部最终提成计算表!$X88*0.15*0.8*0.05*'18年合同登记表'!AL106/'18年合同登记表'!$M106</f>
        <v>0</v>
      </c>
      <c r="AS86" s="122">
        <f>客服部最终提成计算表!$X88*0.15*0.8*0.02*'18年合同登记表'!AL106/'18年合同登记表'!$M106</f>
        <v>0</v>
      </c>
      <c r="AT86" s="122">
        <f>客服部最终提成计算表!$X88*0.15*0.8*0.85*'18年合同登记表'!AN106/'18年合同登记表'!$M106</f>
        <v>0</v>
      </c>
      <c r="AU86" s="122">
        <f>客服部最终提成计算表!$X88*0.15*0.8*0.08*'18年合同登记表'!AN106/'18年合同登记表'!$M106</f>
        <v>0</v>
      </c>
      <c r="AV86" s="122">
        <f>客服部最终提成计算表!$X88*0.15*0.8*0.05*'18年合同登记表'!AN106/'18年合同登记表'!$M106</f>
        <v>0</v>
      </c>
      <c r="AW86" s="122">
        <f>客服部最终提成计算表!$X88*0.15*0.8*0.02*'18年合同登记表'!AN106/'18年合同登记表'!$M106</f>
        <v>0</v>
      </c>
      <c r="AX86" s="122">
        <f>客服部最终提成计算表!$X88*0.15*0.8*0.85*'18年合同登记表'!AP106/'18年合同登记表'!$M106</f>
        <v>0</v>
      </c>
      <c r="AY86" s="122">
        <f>客服部最终提成计算表!$X88*0.15*0.8*0.08*'18年合同登记表'!AP106/'18年合同登记表'!$M106</f>
        <v>0</v>
      </c>
      <c r="AZ86" s="122">
        <f>客服部最终提成计算表!$X88*0.15*0.8*0.05*'18年合同登记表'!AP106/'18年合同登记表'!$M106</f>
        <v>0</v>
      </c>
      <c r="BA86" s="131">
        <f>客服部最终提成计算表!$X88*0.15*0.8*0.02*'18年合同登记表'!AP106/'18年合同登记表'!$M106</f>
        <v>0</v>
      </c>
    </row>
    <row r="87" s="104" customFormat="1" ht="14.25" spans="1:53">
      <c r="A87" s="117"/>
      <c r="B87" s="118" t="str">
        <f>'18年合同登记表'!F107</f>
        <v>国勤</v>
      </c>
      <c r="C87" s="119" t="str">
        <f>'18年合同登记表'!H107</f>
        <v>RHS-20180713-L-01-02-049</v>
      </c>
      <c r="D87" s="119" t="str">
        <f>'18年合同登记表'!I107</f>
        <v>直燃机年度维保技术服务</v>
      </c>
      <c r="E87" s="120" t="str">
        <f>'18年合同登记表'!L107</f>
        <v>陈勇</v>
      </c>
      <c r="F87" s="121">
        <f>客服部最终提成计算表!$X89*0.15*0.8*0.85*'18年合同登记表'!T107/'18年合同登记表'!$M107</f>
        <v>0</v>
      </c>
      <c r="G87" s="122">
        <f>客服部最终提成计算表!$X89*0.15*0.8*0.08*'18年合同登记表'!T107/'18年合同登记表'!$M107</f>
        <v>0</v>
      </c>
      <c r="H87" s="122">
        <f>客服部最终提成计算表!$X89*0.15*0.8*0.05*'18年合同登记表'!T107/'18年合同登记表'!$M107</f>
        <v>0</v>
      </c>
      <c r="I87" s="122">
        <f>客服部最终提成计算表!$X89*0.15*0.8*0.02*'18年合同登记表'!T107/'18年合同登记表'!$M107</f>
        <v>0</v>
      </c>
      <c r="J87" s="122">
        <f>客服部最终提成计算表!$X89*0.15*0.8*0.85*'18年合同登记表'!V107/'18年合同登记表'!$M107</f>
        <v>0</v>
      </c>
      <c r="K87" s="122">
        <f>客服部最终提成计算表!$X89*0.15*0.8*0.08*'18年合同登记表'!V107/'18年合同登记表'!$M107</f>
        <v>0</v>
      </c>
      <c r="L87" s="122">
        <f>客服部最终提成计算表!$X89*0.15*0.8*0.05*'18年合同登记表'!V107/'18年合同登记表'!$M107</f>
        <v>0</v>
      </c>
      <c r="M87" s="122">
        <f>客服部最终提成计算表!$X89*0.15*0.8*0.02*'18年合同登记表'!V107/'18年合同登记表'!$M107</f>
        <v>0</v>
      </c>
      <c r="N87" s="122">
        <f>客服部最终提成计算表!$X89*0.15*0.8*0.85*'18年合同登记表'!X107/'18年合同登记表'!$M107</f>
        <v>0</v>
      </c>
      <c r="O87" s="122">
        <f>客服部最终提成计算表!$X89*0.15*0.8*0.08*'18年合同登记表'!X107/'18年合同登记表'!$M107</f>
        <v>0</v>
      </c>
      <c r="P87" s="122">
        <f>客服部最终提成计算表!$X89*0.15*0.8*0.05*'18年合同登记表'!X107/'18年合同登记表'!$M107</f>
        <v>0</v>
      </c>
      <c r="Q87" s="122">
        <f>客服部最终提成计算表!$X89*0.15*0.8*0.02*'18年合同登记表'!X107/'18年合同登记表'!$M107</f>
        <v>0</v>
      </c>
      <c r="R87" s="122">
        <f>客服部最终提成计算表!$X89*0.15*0.8*0.85*'18年合同登记表'!Z107/'18年合同登记表'!$M107</f>
        <v>0</v>
      </c>
      <c r="S87" s="122">
        <f>客服部最终提成计算表!$X89*0.15*0.8*0.08*'18年合同登记表'!Z107/'18年合同登记表'!$M107</f>
        <v>0</v>
      </c>
      <c r="T87" s="122">
        <f>客服部最终提成计算表!$X89*0.15*0.8*0.05*'18年合同登记表'!Z107/'18年合同登记表'!$M107</f>
        <v>0</v>
      </c>
      <c r="U87" s="122">
        <f>客服部最终提成计算表!$X89*0.15*0.8*0.02*'18年合同登记表'!Z107/'18年合同登记表'!$M107</f>
        <v>0</v>
      </c>
      <c r="V87" s="122">
        <f>客服部最终提成计算表!$X89*0.15*0.8*0.85*'18年合同登记表'!AB107/'18年合同登记表'!$M107</f>
        <v>0</v>
      </c>
      <c r="W87" s="122">
        <f>客服部最终提成计算表!$X89*0.15*0.8*0.08*'18年合同登记表'!AB107/'18年合同登记表'!$M107</f>
        <v>0</v>
      </c>
      <c r="X87" s="122">
        <f>客服部最终提成计算表!$X89*0.15*0.8*0.05*'18年合同登记表'!AB107/'18年合同登记表'!$M107</f>
        <v>0</v>
      </c>
      <c r="Y87" s="122">
        <f>客服部最终提成计算表!$X89*0.15*0.8*0.02*'18年合同登记表'!AB107/'18年合同登记表'!$M107</f>
        <v>0</v>
      </c>
      <c r="Z87" s="122">
        <f>客服部最终提成计算表!$X89*0.15*0.8*0.85*'18年合同登记表'!AD107/'18年合同登记表'!$M107</f>
        <v>0</v>
      </c>
      <c r="AA87" s="122">
        <f>客服部最终提成计算表!$X89*0.15*0.8*0.08*'18年合同登记表'!AD107/'18年合同登记表'!$M107</f>
        <v>0</v>
      </c>
      <c r="AB87" s="122">
        <f>客服部最终提成计算表!$X89*0.15*0.8*0.05*'18年合同登记表'!AD107/'18年合同登记表'!$M107</f>
        <v>0</v>
      </c>
      <c r="AC87" s="122">
        <f>客服部最终提成计算表!$X89*0.15*0.8*0.02*'18年合同登记表'!AD107/'18年合同登记表'!$M107</f>
        <v>0</v>
      </c>
      <c r="AD87" s="122">
        <f>客服部最终提成计算表!$X89*0.15*0.8*0.85*'18年合同登记表'!AF107/'18年合同登记表'!$M107</f>
        <v>1122</v>
      </c>
      <c r="AE87" s="122">
        <f>客服部最终提成计算表!$X89*0.15*0.8*0.08*'18年合同登记表'!AF107/'18年合同登记表'!$M107</f>
        <v>105.6</v>
      </c>
      <c r="AF87" s="122">
        <f>客服部最终提成计算表!$X89*0.15*0.8*0.05*'18年合同登记表'!AF107/'18年合同登记表'!$M107</f>
        <v>66</v>
      </c>
      <c r="AG87" s="122">
        <f>客服部最终提成计算表!$X89*0.15*0.8*0.02*'18年合同登记表'!AF107/'18年合同登记表'!$M107</f>
        <v>26.4</v>
      </c>
      <c r="AH87" s="122">
        <f>客服部最终提成计算表!$X89*0.15*0.8*0.85*'18年合同登记表'!AH107/'18年合同登记表'!$M107</f>
        <v>0</v>
      </c>
      <c r="AI87" s="122">
        <f>客服部最终提成计算表!$X89*0.15*0.8*0.08*'18年合同登记表'!AH107/'18年合同登记表'!$M107</f>
        <v>0</v>
      </c>
      <c r="AJ87" s="122">
        <f>客服部最终提成计算表!$X89*0.15*0.8*0.05*'18年合同登记表'!AH107/'18年合同登记表'!$M107</f>
        <v>0</v>
      </c>
      <c r="AK87" s="122">
        <f>客服部最终提成计算表!$X89*0.15*0.8*0.02*'18年合同登记表'!AH107/'18年合同登记表'!$M107</f>
        <v>0</v>
      </c>
      <c r="AL87" s="122">
        <f>客服部最终提成计算表!$X89*0.15*0.8*0.85*'18年合同登记表'!AJ107/'18年合同登记表'!$M107</f>
        <v>0</v>
      </c>
      <c r="AM87" s="122">
        <f>客服部最终提成计算表!$X89*0.15*0.8*0.08*'18年合同登记表'!AJ107/'18年合同登记表'!$M107</f>
        <v>0</v>
      </c>
      <c r="AN87" s="122">
        <f>客服部最终提成计算表!$X89*0.15*0.8*0.05*'18年合同登记表'!AJ107/'18年合同登记表'!$M107</f>
        <v>0</v>
      </c>
      <c r="AO87" s="122">
        <f>客服部最终提成计算表!$X89*0.15*0.8*0.02*'18年合同登记表'!AJ107/'18年合同登记表'!$M107</f>
        <v>0</v>
      </c>
      <c r="AP87" s="122">
        <f>客服部最终提成计算表!$X89*0.15*0.8*0.85*'18年合同登记表'!AL107/'18年合同登记表'!$M107</f>
        <v>0</v>
      </c>
      <c r="AQ87" s="122">
        <f>客服部最终提成计算表!$X89*0.15*0.8*0.08*'18年合同登记表'!AL107/'18年合同登记表'!$M107</f>
        <v>0</v>
      </c>
      <c r="AR87" s="122">
        <f>客服部最终提成计算表!$X89*0.15*0.8*0.05*'18年合同登记表'!AL107/'18年合同登记表'!$M107</f>
        <v>0</v>
      </c>
      <c r="AS87" s="122">
        <f>客服部最终提成计算表!$X89*0.15*0.8*0.02*'18年合同登记表'!AL107/'18年合同登记表'!$M107</f>
        <v>0</v>
      </c>
      <c r="AT87" s="122">
        <f>客服部最终提成计算表!$X89*0.15*0.8*0.85*'18年合同登记表'!AN107/'18年合同登记表'!$M107</f>
        <v>0</v>
      </c>
      <c r="AU87" s="122">
        <f>客服部最终提成计算表!$X89*0.15*0.8*0.08*'18年合同登记表'!AN107/'18年合同登记表'!$M107</f>
        <v>0</v>
      </c>
      <c r="AV87" s="122">
        <f>客服部最终提成计算表!$X89*0.15*0.8*0.05*'18年合同登记表'!AN107/'18年合同登记表'!$M107</f>
        <v>0</v>
      </c>
      <c r="AW87" s="122">
        <f>客服部最终提成计算表!$X89*0.15*0.8*0.02*'18年合同登记表'!AN107/'18年合同登记表'!$M107</f>
        <v>0</v>
      </c>
      <c r="AX87" s="122">
        <f>客服部最终提成计算表!$X89*0.15*0.8*0.85*'18年合同登记表'!AP107/'18年合同登记表'!$M107</f>
        <v>0</v>
      </c>
      <c r="AY87" s="122">
        <f>客服部最终提成计算表!$X89*0.15*0.8*0.08*'18年合同登记表'!AP107/'18年合同登记表'!$M107</f>
        <v>0</v>
      </c>
      <c r="AZ87" s="122">
        <f>客服部最终提成计算表!$X89*0.15*0.8*0.05*'18年合同登记表'!AP107/'18年合同登记表'!$M107</f>
        <v>0</v>
      </c>
      <c r="BA87" s="131">
        <f>客服部最终提成计算表!$X89*0.15*0.8*0.02*'18年合同登记表'!AP107/'18年合同登记表'!$M107</f>
        <v>0</v>
      </c>
    </row>
    <row r="88" s="104" customFormat="1" ht="14.25" spans="1:53">
      <c r="A88" s="117"/>
      <c r="B88" s="118" t="str">
        <f>'18年合同登记表'!F93</f>
        <v>天下第一城</v>
      </c>
      <c r="C88" s="119">
        <f>'18年合同登记表'!H93</f>
        <v>0</v>
      </c>
      <c r="D88" s="119" t="str">
        <f>'18年合同登记表'!I93</f>
        <v>西便门3#机内漏处理方案</v>
      </c>
      <c r="E88" s="120" t="str">
        <f>'18年合同登记表'!L93</f>
        <v>陈勇</v>
      </c>
      <c r="F88" s="121">
        <f>客服部最终提成计算表!$X90*0.15*0.8*0.85*'18年合同登记表'!T93/'18年合同登记表'!$M93</f>
        <v>0</v>
      </c>
      <c r="G88" s="122">
        <f>客服部最终提成计算表!$X90*0.15*0.8*0.08*'18年合同登记表'!T93/'18年合同登记表'!$M93</f>
        <v>0</v>
      </c>
      <c r="H88" s="122">
        <f>客服部最终提成计算表!$X90*0.15*0.8*0.05*'18年合同登记表'!T93/'18年合同登记表'!$M93</f>
        <v>0</v>
      </c>
      <c r="I88" s="122">
        <f>客服部最终提成计算表!$X90*0.15*0.8*0.02*'18年合同登记表'!T93/'18年合同登记表'!$M93</f>
        <v>0</v>
      </c>
      <c r="J88" s="122">
        <f>客服部最终提成计算表!$X90*0.15*0.8*0.85*'18年合同登记表'!V93/'18年合同登记表'!$M93</f>
        <v>0</v>
      </c>
      <c r="K88" s="122">
        <f>客服部最终提成计算表!$X90*0.15*0.8*0.08*'18年合同登记表'!V93/'18年合同登记表'!$M93</f>
        <v>0</v>
      </c>
      <c r="L88" s="122">
        <f>客服部最终提成计算表!$X90*0.15*0.8*0.05*'18年合同登记表'!V93/'18年合同登记表'!$M93</f>
        <v>0</v>
      </c>
      <c r="M88" s="122">
        <f>客服部最终提成计算表!$X90*0.15*0.8*0.02*'18年合同登记表'!V93/'18年合同登记表'!$M93</f>
        <v>0</v>
      </c>
      <c r="N88" s="122">
        <f>客服部最终提成计算表!$X90*0.15*0.8*0.85*'18年合同登记表'!X93/'18年合同登记表'!$M93</f>
        <v>0</v>
      </c>
      <c r="O88" s="122">
        <f>客服部最终提成计算表!$X90*0.15*0.8*0.08*'18年合同登记表'!X93/'18年合同登记表'!$M93</f>
        <v>0</v>
      </c>
      <c r="P88" s="122">
        <f>客服部最终提成计算表!$X90*0.15*0.8*0.05*'18年合同登记表'!X93/'18年合同登记表'!$M93</f>
        <v>0</v>
      </c>
      <c r="Q88" s="122">
        <f>客服部最终提成计算表!$X90*0.15*0.8*0.02*'18年合同登记表'!X93/'18年合同登记表'!$M93</f>
        <v>0</v>
      </c>
      <c r="R88" s="122">
        <f>客服部最终提成计算表!$X90*0.15*0.8*0.85*'18年合同登记表'!Z93/'18年合同登记表'!$M93</f>
        <v>0</v>
      </c>
      <c r="S88" s="122">
        <f>客服部最终提成计算表!$X90*0.15*0.8*0.08*'18年合同登记表'!Z93/'18年合同登记表'!$M93</f>
        <v>0</v>
      </c>
      <c r="T88" s="122">
        <f>客服部最终提成计算表!$X90*0.15*0.8*0.05*'18年合同登记表'!Z93/'18年合同登记表'!$M93</f>
        <v>0</v>
      </c>
      <c r="U88" s="122">
        <f>客服部最终提成计算表!$X90*0.15*0.8*0.02*'18年合同登记表'!Z93/'18年合同登记表'!$M93</f>
        <v>0</v>
      </c>
      <c r="V88" s="122">
        <f>客服部最终提成计算表!$X90*0.15*0.8*0.85*'18年合同登记表'!AB93/'18年合同登记表'!$M93</f>
        <v>0</v>
      </c>
      <c r="W88" s="122">
        <f>客服部最终提成计算表!$X90*0.15*0.8*0.08*'18年合同登记表'!AB93/'18年合同登记表'!$M93</f>
        <v>0</v>
      </c>
      <c r="X88" s="122">
        <f>客服部最终提成计算表!$X90*0.15*0.8*0.05*'18年合同登记表'!AB93/'18年合同登记表'!$M93</f>
        <v>0</v>
      </c>
      <c r="Y88" s="122">
        <f>客服部最终提成计算表!$X90*0.15*0.8*0.02*'18年合同登记表'!AB93/'18年合同登记表'!$M93</f>
        <v>0</v>
      </c>
      <c r="Z88" s="122">
        <f>客服部最终提成计算表!$X90*0.15*0.8*0.85*'18年合同登记表'!AD93/'18年合同登记表'!$M93</f>
        <v>0</v>
      </c>
      <c r="AA88" s="122">
        <f>客服部最终提成计算表!$X90*0.15*0.8*0.08*'18年合同登记表'!AD93/'18年合同登记表'!$M93</f>
        <v>0</v>
      </c>
      <c r="AB88" s="122">
        <f>客服部最终提成计算表!$X90*0.15*0.8*0.05*'18年合同登记表'!AD93/'18年合同登记表'!$M93</f>
        <v>0</v>
      </c>
      <c r="AC88" s="122">
        <f>客服部最终提成计算表!$X90*0.15*0.8*0.02*'18年合同登记表'!AD93/'18年合同登记表'!$M93</f>
        <v>0</v>
      </c>
      <c r="AD88" s="122">
        <f>客服部最终提成计算表!$X90*0.15*0.8*0.85*'18年合同登记表'!AF93/'18年合同登记表'!$M93</f>
        <v>0</v>
      </c>
      <c r="AE88" s="122">
        <f>客服部最终提成计算表!$X90*0.15*0.8*0.08*'18年合同登记表'!AF93/'18年合同登记表'!$M93</f>
        <v>0</v>
      </c>
      <c r="AF88" s="122">
        <f>客服部最终提成计算表!$X90*0.15*0.8*0.05*'18年合同登记表'!AF93/'18年合同登记表'!$M93</f>
        <v>0</v>
      </c>
      <c r="AG88" s="122">
        <f>客服部最终提成计算表!$X90*0.15*0.8*0.02*'18年合同登记表'!AF93/'18年合同登记表'!$M93</f>
        <v>0</v>
      </c>
      <c r="AH88" s="122">
        <f>客服部最终提成计算表!$X90*0.15*0.8*0.85*'18年合同登记表'!AH93/'18年合同登记表'!$M93</f>
        <v>0</v>
      </c>
      <c r="AI88" s="122">
        <f>客服部最终提成计算表!$X90*0.15*0.8*0.08*'18年合同登记表'!AH93/'18年合同登记表'!$M93</f>
        <v>0</v>
      </c>
      <c r="AJ88" s="122">
        <f>客服部最终提成计算表!$X90*0.15*0.8*0.05*'18年合同登记表'!AH93/'18年合同登记表'!$M93</f>
        <v>0</v>
      </c>
      <c r="AK88" s="122">
        <f>客服部最终提成计算表!$X90*0.15*0.8*0.02*'18年合同登记表'!AH93/'18年合同登记表'!$M93</f>
        <v>0</v>
      </c>
      <c r="AL88" s="122">
        <f>客服部最终提成计算表!$X90*0.15*0.8*0.85*'18年合同登记表'!AJ93/'18年合同登记表'!$M93</f>
        <v>0</v>
      </c>
      <c r="AM88" s="122">
        <f>客服部最终提成计算表!$X90*0.15*0.8*0.08*'18年合同登记表'!AJ93/'18年合同登记表'!$M93</f>
        <v>0</v>
      </c>
      <c r="AN88" s="122">
        <f>客服部最终提成计算表!$X90*0.15*0.8*0.05*'18年合同登记表'!AJ93/'18年合同登记表'!$M93</f>
        <v>0</v>
      </c>
      <c r="AO88" s="122">
        <f>客服部最终提成计算表!$X90*0.15*0.8*0.02*'18年合同登记表'!AJ93/'18年合同登记表'!$M93</f>
        <v>0</v>
      </c>
      <c r="AP88" s="122">
        <f>客服部最终提成计算表!$X90*0.15*0.8*0.85*'18年合同登记表'!AL93/'18年合同登记表'!$M93</f>
        <v>0</v>
      </c>
      <c r="AQ88" s="122">
        <f>客服部最终提成计算表!$X90*0.15*0.8*0.08*'18年合同登记表'!AL93/'18年合同登记表'!$M93</f>
        <v>0</v>
      </c>
      <c r="AR88" s="122">
        <f>客服部最终提成计算表!$X90*0.15*0.8*0.05*'18年合同登记表'!AL93/'18年合同登记表'!$M93</f>
        <v>0</v>
      </c>
      <c r="AS88" s="122">
        <f>客服部最终提成计算表!$X90*0.15*0.8*0.02*'18年合同登记表'!AL93/'18年合同登记表'!$M93</f>
        <v>0</v>
      </c>
      <c r="AT88" s="122">
        <f>客服部最终提成计算表!$X90*0.15*0.8*0.85*'18年合同登记表'!AN93/'18年合同登记表'!$M93</f>
        <v>0</v>
      </c>
      <c r="AU88" s="122">
        <f>客服部最终提成计算表!$X90*0.15*0.8*0.08*'18年合同登记表'!AN93/'18年合同登记表'!$M93</f>
        <v>0</v>
      </c>
      <c r="AV88" s="122">
        <f>客服部最终提成计算表!$X90*0.15*0.8*0.05*'18年合同登记表'!AN93/'18年合同登记表'!$M93</f>
        <v>0</v>
      </c>
      <c r="AW88" s="122">
        <f>客服部最终提成计算表!$X90*0.15*0.8*0.02*'18年合同登记表'!AN93/'18年合同登记表'!$M93</f>
        <v>0</v>
      </c>
      <c r="AX88" s="122">
        <f>客服部最终提成计算表!$X90*0.15*0.8*0.85*'18年合同登记表'!AP93/'18年合同登记表'!$M93</f>
        <v>0</v>
      </c>
      <c r="AY88" s="122">
        <f>客服部最终提成计算表!$X90*0.15*0.8*0.08*'18年合同登记表'!AP93/'18年合同登记表'!$M93</f>
        <v>0</v>
      </c>
      <c r="AZ88" s="122">
        <f>客服部最终提成计算表!$X90*0.15*0.8*0.05*'18年合同登记表'!AP93/'18年合同登记表'!$M93</f>
        <v>0</v>
      </c>
      <c r="BA88" s="131">
        <f>客服部最终提成计算表!$X90*0.15*0.8*0.02*'18年合同登记表'!AP93/'18年合同登记表'!$M93</f>
        <v>0</v>
      </c>
    </row>
    <row r="89" s="104" customFormat="1" ht="14.25" spans="1:53">
      <c r="A89" s="117"/>
      <c r="B89" s="118" t="e">
        <f>'18年合同登记表'!#REF!</f>
        <v>#REF!</v>
      </c>
      <c r="C89" s="119" t="e">
        <f>'18年合同登记表'!#REF!</f>
        <v>#REF!</v>
      </c>
      <c r="D89" s="119" t="e">
        <f>'18年合同登记表'!#REF!</f>
        <v>#REF!</v>
      </c>
      <c r="E89" s="120" t="e">
        <f>'18年合同登记表'!#REF!</f>
        <v>#REF!</v>
      </c>
      <c r="F89" s="121" t="e">
        <f>客服部最终提成计算表!$X91*0.15*0.8*0.85*'18年合同登记表'!#REF!/'18年合同登记表'!#REF!</f>
        <v>#REF!</v>
      </c>
      <c r="G89" s="122" t="e">
        <f>客服部最终提成计算表!$X91*0.15*0.8*0.08*'18年合同登记表'!#REF!/'18年合同登记表'!#REF!</f>
        <v>#REF!</v>
      </c>
      <c r="H89" s="122" t="e">
        <f>客服部最终提成计算表!$X91*0.15*0.8*0.05*'18年合同登记表'!#REF!/'18年合同登记表'!#REF!</f>
        <v>#REF!</v>
      </c>
      <c r="I89" s="122" t="e">
        <f>客服部最终提成计算表!$X91*0.15*0.8*0.02*'18年合同登记表'!#REF!/'18年合同登记表'!#REF!</f>
        <v>#REF!</v>
      </c>
      <c r="J89" s="122" t="e">
        <f>客服部最终提成计算表!$X91*0.15*0.8*0.85*'18年合同登记表'!#REF!/'18年合同登记表'!#REF!</f>
        <v>#REF!</v>
      </c>
      <c r="K89" s="122" t="e">
        <f>客服部最终提成计算表!$X91*0.15*0.8*0.08*'18年合同登记表'!#REF!/'18年合同登记表'!#REF!</f>
        <v>#REF!</v>
      </c>
      <c r="L89" s="122" t="e">
        <f>客服部最终提成计算表!$X91*0.15*0.8*0.05*'18年合同登记表'!#REF!/'18年合同登记表'!#REF!</f>
        <v>#REF!</v>
      </c>
      <c r="M89" s="122" t="e">
        <f>客服部最终提成计算表!$X91*0.15*0.8*0.02*'18年合同登记表'!#REF!/'18年合同登记表'!#REF!</f>
        <v>#REF!</v>
      </c>
      <c r="N89" s="122" t="e">
        <f>客服部最终提成计算表!$X91*0.15*0.8*0.85*'18年合同登记表'!#REF!/'18年合同登记表'!#REF!</f>
        <v>#REF!</v>
      </c>
      <c r="O89" s="122" t="e">
        <f>客服部最终提成计算表!$X91*0.15*0.8*0.08*'18年合同登记表'!#REF!/'18年合同登记表'!#REF!</f>
        <v>#REF!</v>
      </c>
      <c r="P89" s="122" t="e">
        <f>客服部最终提成计算表!$X91*0.15*0.8*0.05*'18年合同登记表'!#REF!/'18年合同登记表'!#REF!</f>
        <v>#REF!</v>
      </c>
      <c r="Q89" s="122" t="e">
        <f>客服部最终提成计算表!$X91*0.15*0.8*0.02*'18年合同登记表'!#REF!/'18年合同登记表'!#REF!</f>
        <v>#REF!</v>
      </c>
      <c r="R89" s="122" t="e">
        <f>客服部最终提成计算表!$X91*0.15*0.8*0.85*'18年合同登记表'!#REF!/'18年合同登记表'!#REF!</f>
        <v>#REF!</v>
      </c>
      <c r="S89" s="122" t="e">
        <f>客服部最终提成计算表!$X91*0.15*0.8*0.08*'18年合同登记表'!#REF!/'18年合同登记表'!#REF!</f>
        <v>#REF!</v>
      </c>
      <c r="T89" s="122" t="e">
        <f>客服部最终提成计算表!$X91*0.15*0.8*0.05*'18年合同登记表'!#REF!/'18年合同登记表'!#REF!</f>
        <v>#REF!</v>
      </c>
      <c r="U89" s="122" t="e">
        <f>客服部最终提成计算表!$X91*0.15*0.8*0.02*'18年合同登记表'!#REF!/'18年合同登记表'!#REF!</f>
        <v>#REF!</v>
      </c>
      <c r="V89" s="122" t="e">
        <f>客服部最终提成计算表!$X91*0.15*0.8*0.85*'18年合同登记表'!#REF!/'18年合同登记表'!#REF!</f>
        <v>#REF!</v>
      </c>
      <c r="W89" s="122" t="e">
        <f>客服部最终提成计算表!$X91*0.15*0.8*0.08*'18年合同登记表'!#REF!/'18年合同登记表'!#REF!</f>
        <v>#REF!</v>
      </c>
      <c r="X89" s="122" t="e">
        <f>客服部最终提成计算表!$X91*0.15*0.8*0.05*'18年合同登记表'!#REF!/'18年合同登记表'!#REF!</f>
        <v>#REF!</v>
      </c>
      <c r="Y89" s="122" t="e">
        <f>客服部最终提成计算表!$X91*0.15*0.8*0.02*'18年合同登记表'!#REF!/'18年合同登记表'!#REF!</f>
        <v>#REF!</v>
      </c>
      <c r="Z89" s="122" t="e">
        <f>客服部最终提成计算表!$X91*0.15*0.8*0.85*'18年合同登记表'!#REF!/'18年合同登记表'!#REF!</f>
        <v>#REF!</v>
      </c>
      <c r="AA89" s="122" t="e">
        <f>客服部最终提成计算表!$X91*0.15*0.8*0.08*'18年合同登记表'!#REF!/'18年合同登记表'!#REF!</f>
        <v>#REF!</v>
      </c>
      <c r="AB89" s="122" t="e">
        <f>客服部最终提成计算表!$X91*0.15*0.8*0.05*'18年合同登记表'!#REF!/'18年合同登记表'!#REF!</f>
        <v>#REF!</v>
      </c>
      <c r="AC89" s="122" t="e">
        <f>客服部最终提成计算表!$X91*0.15*0.8*0.02*'18年合同登记表'!#REF!/'18年合同登记表'!#REF!</f>
        <v>#REF!</v>
      </c>
      <c r="AD89" s="122" t="e">
        <f>客服部最终提成计算表!$X91*0.15*0.8*0.85*'18年合同登记表'!#REF!/'18年合同登记表'!#REF!</f>
        <v>#REF!</v>
      </c>
      <c r="AE89" s="122" t="e">
        <f>客服部最终提成计算表!$X91*0.15*0.8*0.08*'18年合同登记表'!#REF!/'18年合同登记表'!#REF!</f>
        <v>#REF!</v>
      </c>
      <c r="AF89" s="122" t="e">
        <f>客服部最终提成计算表!$X91*0.15*0.8*0.05*'18年合同登记表'!#REF!/'18年合同登记表'!#REF!</f>
        <v>#REF!</v>
      </c>
      <c r="AG89" s="122" t="e">
        <f>客服部最终提成计算表!$X91*0.15*0.8*0.02*'18年合同登记表'!#REF!/'18年合同登记表'!#REF!</f>
        <v>#REF!</v>
      </c>
      <c r="AH89" s="122" t="e">
        <f>客服部最终提成计算表!$X91*0.15*0.8*0.85*'18年合同登记表'!#REF!/'18年合同登记表'!#REF!</f>
        <v>#REF!</v>
      </c>
      <c r="AI89" s="122" t="e">
        <f>客服部最终提成计算表!$X91*0.15*0.8*0.08*'18年合同登记表'!#REF!/'18年合同登记表'!#REF!</f>
        <v>#REF!</v>
      </c>
      <c r="AJ89" s="122" t="e">
        <f>客服部最终提成计算表!$X91*0.15*0.8*0.05*'18年合同登记表'!#REF!/'18年合同登记表'!#REF!</f>
        <v>#REF!</v>
      </c>
      <c r="AK89" s="122" t="e">
        <f>客服部最终提成计算表!$X91*0.15*0.8*0.02*'18年合同登记表'!#REF!/'18年合同登记表'!#REF!</f>
        <v>#REF!</v>
      </c>
      <c r="AL89" s="122" t="e">
        <f>客服部最终提成计算表!$X91*0.15*0.8*0.85*'18年合同登记表'!#REF!/'18年合同登记表'!#REF!</f>
        <v>#REF!</v>
      </c>
      <c r="AM89" s="122" t="e">
        <f>客服部最终提成计算表!$X91*0.15*0.8*0.08*'18年合同登记表'!#REF!/'18年合同登记表'!#REF!</f>
        <v>#REF!</v>
      </c>
      <c r="AN89" s="122" t="e">
        <f>客服部最终提成计算表!$X91*0.15*0.8*0.05*'18年合同登记表'!#REF!/'18年合同登记表'!#REF!</f>
        <v>#REF!</v>
      </c>
      <c r="AO89" s="122" t="e">
        <f>客服部最终提成计算表!$X91*0.15*0.8*0.02*'18年合同登记表'!#REF!/'18年合同登记表'!#REF!</f>
        <v>#REF!</v>
      </c>
      <c r="AP89" s="122" t="e">
        <f>客服部最终提成计算表!$X91*0.15*0.8*0.85*'18年合同登记表'!#REF!/'18年合同登记表'!#REF!</f>
        <v>#REF!</v>
      </c>
      <c r="AQ89" s="122" t="e">
        <f>客服部最终提成计算表!$X91*0.15*0.8*0.08*'18年合同登记表'!#REF!/'18年合同登记表'!#REF!</f>
        <v>#REF!</v>
      </c>
      <c r="AR89" s="122" t="e">
        <f>客服部最终提成计算表!$X91*0.15*0.8*0.05*'18年合同登记表'!#REF!/'18年合同登记表'!#REF!</f>
        <v>#REF!</v>
      </c>
      <c r="AS89" s="122" t="e">
        <f>客服部最终提成计算表!$X91*0.15*0.8*0.02*'18年合同登记表'!#REF!/'18年合同登记表'!#REF!</f>
        <v>#REF!</v>
      </c>
      <c r="AT89" s="122" t="e">
        <f>客服部最终提成计算表!$X91*0.15*0.8*0.85*'18年合同登记表'!#REF!/'18年合同登记表'!#REF!</f>
        <v>#REF!</v>
      </c>
      <c r="AU89" s="122" t="e">
        <f>客服部最终提成计算表!$X91*0.15*0.8*0.08*'18年合同登记表'!#REF!/'18年合同登记表'!#REF!</f>
        <v>#REF!</v>
      </c>
      <c r="AV89" s="122" t="e">
        <f>客服部最终提成计算表!$X91*0.15*0.8*0.05*'18年合同登记表'!#REF!/'18年合同登记表'!#REF!</f>
        <v>#REF!</v>
      </c>
      <c r="AW89" s="122" t="e">
        <f>客服部最终提成计算表!$X91*0.15*0.8*0.02*'18年合同登记表'!#REF!/'18年合同登记表'!#REF!</f>
        <v>#REF!</v>
      </c>
      <c r="AX89" s="122" t="e">
        <f>客服部最终提成计算表!$X91*0.15*0.8*0.85*'18年合同登记表'!#REF!/'18年合同登记表'!#REF!</f>
        <v>#REF!</v>
      </c>
      <c r="AY89" s="122" t="e">
        <f>客服部最终提成计算表!$X91*0.15*0.8*0.08*'18年合同登记表'!#REF!/'18年合同登记表'!#REF!</f>
        <v>#REF!</v>
      </c>
      <c r="AZ89" s="122" t="e">
        <f>客服部最终提成计算表!$X91*0.15*0.8*0.05*'18年合同登记表'!#REF!/'18年合同登记表'!#REF!</f>
        <v>#REF!</v>
      </c>
      <c r="BA89" s="131" t="e">
        <f>客服部最终提成计算表!$X91*0.15*0.8*0.02*'18年合同登记表'!#REF!/'18年合同登记表'!#REF!</f>
        <v>#REF!</v>
      </c>
    </row>
    <row r="90" s="104" customFormat="1" ht="14.25" spans="1:53">
      <c r="A90" s="123" t="s">
        <v>984</v>
      </c>
      <c r="B90" s="124">
        <f>'18年合同登记表'!F119</f>
        <v>0</v>
      </c>
      <c r="C90" s="125">
        <f>'18年合同登记表'!H119</f>
        <v>0</v>
      </c>
      <c r="D90" s="125">
        <f>'18年合同登记表'!I119</f>
        <v>0</v>
      </c>
      <c r="E90" s="126">
        <f>'18年合同登记表'!L119</f>
        <v>0</v>
      </c>
      <c r="F90" s="127" t="e">
        <f>SUM(F82:F89)</f>
        <v>#REF!</v>
      </c>
      <c r="G90" s="128" t="e">
        <f>客服部最终提成计算表!$X92*0.15*0.8*0.08*'18年合同登记表'!T119/'18年合同登记表'!$M119</f>
        <v>#REF!</v>
      </c>
      <c r="H90" s="128" t="e">
        <f>客服部最终提成计算表!$X92*0.15*0.8*0.05*'18年合同登记表'!T119/'18年合同登记表'!$M119</f>
        <v>#REF!</v>
      </c>
      <c r="I90" s="128" t="e">
        <f>客服部最终提成计算表!$X92*0.15*0.8*0.02*'18年合同登记表'!T119/'18年合同登记表'!$M119</f>
        <v>#REF!</v>
      </c>
      <c r="J90" s="128" t="e">
        <f>客服部最终提成计算表!$X92*0.15*0.8*0.85*'18年合同登记表'!V119/'18年合同登记表'!$M119</f>
        <v>#REF!</v>
      </c>
      <c r="K90" s="128" t="e">
        <f>客服部最终提成计算表!$X92*0.15*0.8*0.08*'18年合同登记表'!V119/'18年合同登记表'!$M119</f>
        <v>#REF!</v>
      </c>
      <c r="L90" s="128" t="e">
        <f>客服部最终提成计算表!$X92*0.15*0.8*0.05*'18年合同登记表'!V119/'18年合同登记表'!$M119</f>
        <v>#REF!</v>
      </c>
      <c r="M90" s="128" t="e">
        <f>客服部最终提成计算表!$X92*0.15*0.8*0.02*'18年合同登记表'!V119/'18年合同登记表'!$M119</f>
        <v>#REF!</v>
      </c>
      <c r="N90" s="128" t="e">
        <f>客服部最终提成计算表!$X92*0.15*0.8*0.85*'18年合同登记表'!X119/'18年合同登记表'!$M119</f>
        <v>#REF!</v>
      </c>
      <c r="O90" s="128" t="e">
        <f>客服部最终提成计算表!$X92*0.15*0.8*0.08*'18年合同登记表'!X119/'18年合同登记表'!$M119</f>
        <v>#REF!</v>
      </c>
      <c r="P90" s="128" t="e">
        <f>客服部最终提成计算表!$X92*0.15*0.8*0.05*'18年合同登记表'!X119/'18年合同登记表'!$M119</f>
        <v>#REF!</v>
      </c>
      <c r="Q90" s="128" t="e">
        <f>客服部最终提成计算表!$X92*0.15*0.8*0.02*'18年合同登记表'!X119/'18年合同登记表'!$M119</f>
        <v>#REF!</v>
      </c>
      <c r="R90" s="128" t="e">
        <f>客服部最终提成计算表!$X92*0.15*0.8*0.85*'18年合同登记表'!Z119/'18年合同登记表'!$M119</f>
        <v>#REF!</v>
      </c>
      <c r="S90" s="128" t="e">
        <f>客服部最终提成计算表!$X92*0.15*0.8*0.08*'18年合同登记表'!Z119/'18年合同登记表'!$M119</f>
        <v>#REF!</v>
      </c>
      <c r="T90" s="128" t="e">
        <f>客服部最终提成计算表!$X92*0.15*0.8*0.05*'18年合同登记表'!Z119/'18年合同登记表'!$M119</f>
        <v>#REF!</v>
      </c>
      <c r="U90" s="128" t="e">
        <f>客服部最终提成计算表!$X92*0.15*0.8*0.02*'18年合同登记表'!Z119/'18年合同登记表'!$M119</f>
        <v>#REF!</v>
      </c>
      <c r="V90" s="128" t="e">
        <f>客服部最终提成计算表!$X92*0.15*0.8*0.85*'18年合同登记表'!AB119/'18年合同登记表'!$M119</f>
        <v>#REF!</v>
      </c>
      <c r="W90" s="128" t="e">
        <f>客服部最终提成计算表!$X92*0.15*0.8*0.08*'18年合同登记表'!AB119/'18年合同登记表'!$M119</f>
        <v>#REF!</v>
      </c>
      <c r="X90" s="128" t="e">
        <f>客服部最终提成计算表!$X92*0.15*0.8*0.05*'18年合同登记表'!AB119/'18年合同登记表'!$M119</f>
        <v>#REF!</v>
      </c>
      <c r="Y90" s="128" t="e">
        <f>客服部最终提成计算表!$X92*0.15*0.8*0.02*'18年合同登记表'!AB119/'18年合同登记表'!$M119</f>
        <v>#REF!</v>
      </c>
      <c r="Z90" s="128" t="e">
        <f>客服部最终提成计算表!$X92*0.15*0.8*0.85*'18年合同登记表'!AD119/'18年合同登记表'!$M119</f>
        <v>#REF!</v>
      </c>
      <c r="AA90" s="128" t="e">
        <f>客服部最终提成计算表!$X92*0.15*0.8*0.08*'18年合同登记表'!AD119/'18年合同登记表'!$M119</f>
        <v>#REF!</v>
      </c>
      <c r="AB90" s="128" t="e">
        <f>客服部最终提成计算表!$X92*0.15*0.8*0.05*'18年合同登记表'!AD119/'18年合同登记表'!$M119</f>
        <v>#REF!</v>
      </c>
      <c r="AC90" s="128" t="e">
        <f>客服部最终提成计算表!$X92*0.15*0.8*0.02*'18年合同登记表'!AD119/'18年合同登记表'!$M119</f>
        <v>#REF!</v>
      </c>
      <c r="AD90" s="128" t="e">
        <f>客服部最终提成计算表!$X92*0.15*0.8*0.85*'18年合同登记表'!AF119/'18年合同登记表'!$M119</f>
        <v>#REF!</v>
      </c>
      <c r="AE90" s="128" t="e">
        <f>客服部最终提成计算表!$X92*0.15*0.8*0.08*'18年合同登记表'!AF119/'18年合同登记表'!$M119</f>
        <v>#REF!</v>
      </c>
      <c r="AF90" s="128" t="e">
        <f>客服部最终提成计算表!$X92*0.15*0.8*0.05*'18年合同登记表'!AF119/'18年合同登记表'!$M119</f>
        <v>#REF!</v>
      </c>
      <c r="AG90" s="128" t="e">
        <f>客服部最终提成计算表!$X92*0.15*0.8*0.02*'18年合同登记表'!AF119/'18年合同登记表'!$M119</f>
        <v>#REF!</v>
      </c>
      <c r="AH90" s="128" t="e">
        <f>客服部最终提成计算表!$X92*0.15*0.8*0.85*'18年合同登记表'!AH119/'18年合同登记表'!$M119</f>
        <v>#REF!</v>
      </c>
      <c r="AI90" s="128" t="e">
        <f>客服部最终提成计算表!$X92*0.15*0.8*0.08*'18年合同登记表'!AH119/'18年合同登记表'!$M119</f>
        <v>#REF!</v>
      </c>
      <c r="AJ90" s="128" t="e">
        <f>客服部最终提成计算表!$X92*0.15*0.8*0.05*'18年合同登记表'!AH119/'18年合同登记表'!$M119</f>
        <v>#REF!</v>
      </c>
      <c r="AK90" s="128" t="e">
        <f>客服部最终提成计算表!$X92*0.15*0.8*0.02*'18年合同登记表'!AH119/'18年合同登记表'!$M119</f>
        <v>#REF!</v>
      </c>
      <c r="AL90" s="128" t="e">
        <f>客服部最终提成计算表!$X92*0.15*0.8*0.85*'18年合同登记表'!AJ119/'18年合同登记表'!$M119</f>
        <v>#REF!</v>
      </c>
      <c r="AM90" s="128" t="e">
        <f>客服部最终提成计算表!$X92*0.15*0.8*0.08*'18年合同登记表'!AJ119/'18年合同登记表'!$M119</f>
        <v>#REF!</v>
      </c>
      <c r="AN90" s="128" t="e">
        <f>客服部最终提成计算表!$X92*0.15*0.8*0.05*'18年合同登记表'!AJ119/'18年合同登记表'!$M119</f>
        <v>#REF!</v>
      </c>
      <c r="AO90" s="128" t="e">
        <f>客服部最终提成计算表!$X92*0.15*0.8*0.02*'18年合同登记表'!AJ119/'18年合同登记表'!$M119</f>
        <v>#REF!</v>
      </c>
      <c r="AP90" s="128" t="e">
        <f>客服部最终提成计算表!$X92*0.15*0.8*0.85*'18年合同登记表'!AL119/'18年合同登记表'!$M119</f>
        <v>#REF!</v>
      </c>
      <c r="AQ90" s="128" t="e">
        <f>客服部最终提成计算表!$X92*0.15*0.8*0.08*'18年合同登记表'!AL119/'18年合同登记表'!$M119</f>
        <v>#REF!</v>
      </c>
      <c r="AR90" s="128" t="e">
        <f>客服部最终提成计算表!$X92*0.15*0.8*0.05*'18年合同登记表'!AL119/'18年合同登记表'!$M119</f>
        <v>#REF!</v>
      </c>
      <c r="AS90" s="128" t="e">
        <f>客服部最终提成计算表!$X92*0.15*0.8*0.02*'18年合同登记表'!AL119/'18年合同登记表'!$M119</f>
        <v>#REF!</v>
      </c>
      <c r="AT90" s="128" t="e">
        <f>客服部最终提成计算表!$X92*0.15*0.8*0.85*'18年合同登记表'!AN119/'18年合同登记表'!$M119</f>
        <v>#REF!</v>
      </c>
      <c r="AU90" s="128" t="e">
        <f>客服部最终提成计算表!$X92*0.15*0.8*0.08*'18年合同登记表'!AN119/'18年合同登记表'!$M119</f>
        <v>#REF!</v>
      </c>
      <c r="AV90" s="128" t="e">
        <f>客服部最终提成计算表!$X92*0.15*0.8*0.05*'18年合同登记表'!AN119/'18年合同登记表'!$M119</f>
        <v>#REF!</v>
      </c>
      <c r="AW90" s="128" t="e">
        <f>客服部最终提成计算表!$X92*0.15*0.8*0.02*'18年合同登记表'!AN119/'18年合同登记表'!$M119</f>
        <v>#REF!</v>
      </c>
      <c r="AX90" s="128" t="e">
        <f>客服部最终提成计算表!$X92*0.15*0.8*0.85*'18年合同登记表'!AP119/'18年合同登记表'!$M119</f>
        <v>#REF!</v>
      </c>
      <c r="AY90" s="128" t="e">
        <f>客服部最终提成计算表!$X92*0.15*0.8*0.08*'18年合同登记表'!AP119/'18年合同登记表'!$M119</f>
        <v>#REF!</v>
      </c>
      <c r="AZ90" s="128" t="e">
        <f>客服部最终提成计算表!$X92*0.15*0.8*0.05*'18年合同登记表'!AP119/'18年合同登记表'!$M119</f>
        <v>#REF!</v>
      </c>
      <c r="BA90" s="132" t="e">
        <f>客服部最终提成计算表!$X92*0.15*0.8*0.02*'18年合同登记表'!AP119/'18年合同登记表'!$M119</f>
        <v>#REF!</v>
      </c>
    </row>
    <row r="91" s="104" customFormat="1" ht="14.25" spans="1:53">
      <c r="A91" s="123" t="s">
        <v>985</v>
      </c>
      <c r="B91" s="124">
        <f>'18年合同登记表'!F120</f>
        <v>0</v>
      </c>
      <c r="C91" s="125">
        <f>'18年合同登记表'!H120</f>
        <v>0</v>
      </c>
      <c r="D91" s="125">
        <f>'18年合同登记表'!I120</f>
        <v>0</v>
      </c>
      <c r="E91" s="126">
        <f>'18年合同登记表'!L120</f>
        <v>0</v>
      </c>
      <c r="F91" s="127" t="e">
        <f>F81+F90</f>
        <v>#REF!</v>
      </c>
      <c r="G91" s="127" t="e">
        <f t="shared" ref="G91" si="190">G81+G90</f>
        <v>#REF!</v>
      </c>
      <c r="H91" s="127" t="e">
        <f t="shared" ref="H91" si="191">H81+H90</f>
        <v>#REF!</v>
      </c>
      <c r="I91" s="127" t="e">
        <f t="shared" ref="I91" si="192">I81+I90</f>
        <v>#REF!</v>
      </c>
      <c r="J91" s="127" t="e">
        <f t="shared" ref="J91" si="193">J81+J90</f>
        <v>#REF!</v>
      </c>
      <c r="K91" s="127" t="e">
        <f t="shared" ref="K91" si="194">K81+K90</f>
        <v>#REF!</v>
      </c>
      <c r="L91" s="127" t="e">
        <f t="shared" ref="L91" si="195">L81+L90</f>
        <v>#REF!</v>
      </c>
      <c r="M91" s="127" t="e">
        <f t="shared" ref="M91" si="196">M81+M90</f>
        <v>#REF!</v>
      </c>
      <c r="N91" s="127" t="e">
        <f t="shared" ref="N91" si="197">N81+N90</f>
        <v>#REF!</v>
      </c>
      <c r="O91" s="127" t="e">
        <f t="shared" ref="O91" si="198">O81+O90</f>
        <v>#REF!</v>
      </c>
      <c r="P91" s="127" t="e">
        <f t="shared" ref="P91" si="199">P81+P90</f>
        <v>#REF!</v>
      </c>
      <c r="Q91" s="127" t="e">
        <f t="shared" ref="Q91" si="200">Q81+Q90</f>
        <v>#REF!</v>
      </c>
      <c r="R91" s="127" t="e">
        <f t="shared" ref="R91" si="201">R81+R90</f>
        <v>#REF!</v>
      </c>
      <c r="S91" s="127" t="e">
        <f t="shared" ref="S91" si="202">S81+S90</f>
        <v>#REF!</v>
      </c>
      <c r="T91" s="127" t="e">
        <f t="shared" ref="T91" si="203">T81+T90</f>
        <v>#REF!</v>
      </c>
      <c r="U91" s="127" t="e">
        <f t="shared" ref="U91" si="204">U81+U90</f>
        <v>#REF!</v>
      </c>
      <c r="V91" s="127" t="e">
        <f t="shared" ref="V91" si="205">V81+V90</f>
        <v>#REF!</v>
      </c>
      <c r="W91" s="127" t="e">
        <f t="shared" ref="W91" si="206">W81+W90</f>
        <v>#REF!</v>
      </c>
      <c r="X91" s="127" t="e">
        <f t="shared" ref="X91" si="207">X81+X90</f>
        <v>#REF!</v>
      </c>
      <c r="Y91" s="127" t="e">
        <f t="shared" ref="Y91" si="208">Y81+Y90</f>
        <v>#REF!</v>
      </c>
      <c r="Z91" s="127" t="e">
        <f t="shared" ref="Z91" si="209">Z81+Z90</f>
        <v>#REF!</v>
      </c>
      <c r="AA91" s="127" t="e">
        <f t="shared" ref="AA91" si="210">AA81+AA90</f>
        <v>#REF!</v>
      </c>
      <c r="AB91" s="127" t="e">
        <f t="shared" ref="AB91" si="211">AB81+AB90</f>
        <v>#REF!</v>
      </c>
      <c r="AC91" s="127" t="e">
        <f t="shared" ref="AC91" si="212">AC81+AC90</f>
        <v>#REF!</v>
      </c>
      <c r="AD91" s="127" t="e">
        <f t="shared" ref="AD91" si="213">AD81+AD90</f>
        <v>#REF!</v>
      </c>
      <c r="AE91" s="127" t="e">
        <f t="shared" ref="AE91" si="214">AE81+AE90</f>
        <v>#REF!</v>
      </c>
      <c r="AF91" s="127" t="e">
        <f t="shared" ref="AF91" si="215">AF81+AF90</f>
        <v>#REF!</v>
      </c>
      <c r="AG91" s="127" t="e">
        <f t="shared" ref="AG91" si="216">AG81+AG90</f>
        <v>#REF!</v>
      </c>
      <c r="AH91" s="127" t="e">
        <f t="shared" ref="AH91" si="217">AH81+AH90</f>
        <v>#REF!</v>
      </c>
      <c r="AI91" s="127" t="e">
        <f t="shared" ref="AI91" si="218">AI81+AI90</f>
        <v>#REF!</v>
      </c>
      <c r="AJ91" s="127" t="e">
        <f t="shared" ref="AJ91" si="219">AJ81+AJ90</f>
        <v>#REF!</v>
      </c>
      <c r="AK91" s="127" t="e">
        <f t="shared" ref="AK91" si="220">AK81+AK90</f>
        <v>#REF!</v>
      </c>
      <c r="AL91" s="127" t="e">
        <f t="shared" ref="AL91" si="221">AL81+AL90</f>
        <v>#REF!</v>
      </c>
      <c r="AM91" s="127" t="e">
        <f t="shared" ref="AM91" si="222">AM81+AM90</f>
        <v>#REF!</v>
      </c>
      <c r="AN91" s="127" t="e">
        <f t="shared" ref="AN91" si="223">AN81+AN90</f>
        <v>#REF!</v>
      </c>
      <c r="AO91" s="127" t="e">
        <f t="shared" ref="AO91" si="224">AO81+AO90</f>
        <v>#REF!</v>
      </c>
      <c r="AP91" s="127" t="e">
        <f t="shared" ref="AP91" si="225">AP81+AP90</f>
        <v>#REF!</v>
      </c>
      <c r="AQ91" s="127" t="e">
        <f t="shared" ref="AQ91" si="226">AQ81+AQ90</f>
        <v>#REF!</v>
      </c>
      <c r="AR91" s="127" t="e">
        <f t="shared" ref="AR91" si="227">AR81+AR90</f>
        <v>#REF!</v>
      </c>
      <c r="AS91" s="127" t="e">
        <f t="shared" ref="AS91" si="228">AS81+AS90</f>
        <v>#REF!</v>
      </c>
      <c r="AT91" s="127" t="e">
        <f t="shared" ref="AT91" si="229">AT81+AT90</f>
        <v>#REF!</v>
      </c>
      <c r="AU91" s="127" t="e">
        <f t="shared" ref="AU91" si="230">AU81+AU90</f>
        <v>#REF!</v>
      </c>
      <c r="AV91" s="127" t="e">
        <f t="shared" ref="AV91" si="231">AV81+AV90</f>
        <v>#REF!</v>
      </c>
      <c r="AW91" s="127" t="e">
        <f t="shared" ref="AW91" si="232">AW81+AW90</f>
        <v>#REF!</v>
      </c>
      <c r="AX91" s="127" t="e">
        <f t="shared" ref="AX91" si="233">AX81+AX90</f>
        <v>#REF!</v>
      </c>
      <c r="AY91" s="127" t="e">
        <f t="shared" ref="AY91" si="234">AY81+AY90</f>
        <v>#REF!</v>
      </c>
      <c r="AZ91" s="127" t="e">
        <f t="shared" ref="AZ91" si="235">AZ81+AZ90</f>
        <v>#REF!</v>
      </c>
      <c r="BA91" s="127" t="e">
        <f t="shared" ref="BA91" si="236">BA81+BA90</f>
        <v>#REF!</v>
      </c>
    </row>
    <row r="92" s="104" customFormat="1" ht="14.25" spans="1:53">
      <c r="A92" s="117"/>
      <c r="B92" s="118" t="str">
        <f>'18年合同登记表'!F121</f>
        <v>东方文创</v>
      </c>
      <c r="C92" s="119" t="str">
        <f>'18年合同登记表'!H121</f>
        <v>NHY-20180612-L-01-01-030</v>
      </c>
      <c r="D92" s="119" t="str">
        <f>'18年合同登记表'!I121</f>
        <v>直燃机年度维保</v>
      </c>
      <c r="E92" s="120" t="str">
        <f>'18年合同登记表'!L121</f>
        <v>陈勇</v>
      </c>
      <c r="F92" s="121">
        <f>客服部最终提成计算表!$X94*0.15*0.8*0.85*'18年合同登记表'!T121/'18年合同登记表'!$M121</f>
        <v>0</v>
      </c>
      <c r="G92" s="122">
        <f>客服部最终提成计算表!$X94*0.15*0.8*0.08*'18年合同登记表'!T121/'18年合同登记表'!$M121</f>
        <v>0</v>
      </c>
      <c r="H92" s="122">
        <f>客服部最终提成计算表!$X94*0.15*0.8*0.05*'18年合同登记表'!T121/'18年合同登记表'!$M121</f>
        <v>0</v>
      </c>
      <c r="I92" s="122">
        <f>客服部最终提成计算表!$X94*0.15*0.8*0.02*'18年合同登记表'!T121/'18年合同登记表'!$M121</f>
        <v>0</v>
      </c>
      <c r="J92" s="122">
        <f>客服部最终提成计算表!$X94*0.15*0.8*0.85*'18年合同登记表'!V121/'18年合同登记表'!$M121</f>
        <v>0</v>
      </c>
      <c r="K92" s="122">
        <f>客服部最终提成计算表!$X94*0.15*0.8*0.08*'18年合同登记表'!V121/'18年合同登记表'!$M121</f>
        <v>0</v>
      </c>
      <c r="L92" s="122">
        <f>客服部最终提成计算表!$X94*0.15*0.8*0.05*'18年合同登记表'!V121/'18年合同登记表'!$M121</f>
        <v>0</v>
      </c>
      <c r="M92" s="122">
        <f>客服部最终提成计算表!$X94*0.15*0.8*0.02*'18年合同登记表'!V121/'18年合同登记表'!$M121</f>
        <v>0</v>
      </c>
      <c r="N92" s="122">
        <f>客服部最终提成计算表!$X94*0.15*0.8*0.85*'18年合同登记表'!X121/'18年合同登记表'!$M121</f>
        <v>0</v>
      </c>
      <c r="O92" s="122">
        <f>客服部最终提成计算表!$X94*0.15*0.8*0.08*'18年合同登记表'!X121/'18年合同登记表'!$M121</f>
        <v>0</v>
      </c>
      <c r="P92" s="122">
        <f>客服部最终提成计算表!$X94*0.15*0.8*0.05*'18年合同登记表'!X121/'18年合同登记表'!$M121</f>
        <v>0</v>
      </c>
      <c r="Q92" s="122">
        <f>客服部最终提成计算表!$X94*0.15*0.8*0.02*'18年合同登记表'!X121/'18年合同登记表'!$M121</f>
        <v>0</v>
      </c>
      <c r="R92" s="122">
        <f>客服部最终提成计算表!$X94*0.15*0.8*0.85*'18年合同登记表'!Z121/'18年合同登记表'!$M121</f>
        <v>0</v>
      </c>
      <c r="S92" s="122">
        <f>客服部最终提成计算表!$X94*0.15*0.8*0.08*'18年合同登记表'!Z121/'18年合同登记表'!$M121</f>
        <v>0</v>
      </c>
      <c r="T92" s="122">
        <f>客服部最终提成计算表!$X94*0.15*0.8*0.05*'18年合同登记表'!Z121/'18年合同登记表'!$M121</f>
        <v>0</v>
      </c>
      <c r="U92" s="122">
        <f>客服部最终提成计算表!$X94*0.15*0.8*0.02*'18年合同登记表'!Z121/'18年合同登记表'!$M121</f>
        <v>0</v>
      </c>
      <c r="V92" s="122">
        <f>客服部最终提成计算表!$X94*0.15*0.8*0.85*'18年合同登记表'!AB121/'18年合同登记表'!$M121</f>
        <v>0</v>
      </c>
      <c r="W92" s="122">
        <f>客服部最终提成计算表!$X94*0.15*0.8*0.08*'18年合同登记表'!AB121/'18年合同登记表'!$M121</f>
        <v>0</v>
      </c>
      <c r="X92" s="122">
        <f>客服部最终提成计算表!$X94*0.15*0.8*0.05*'18年合同登记表'!AB121/'18年合同登记表'!$M121</f>
        <v>0</v>
      </c>
      <c r="Y92" s="122">
        <f>客服部最终提成计算表!$X94*0.15*0.8*0.02*'18年合同登记表'!AB121/'18年合同登记表'!$M121</f>
        <v>0</v>
      </c>
      <c r="Z92" s="122">
        <f>客服部最终提成计算表!$X94*0.15*0.8*0.85*'18年合同登记表'!AD121/'18年合同登记表'!$M121</f>
        <v>0</v>
      </c>
      <c r="AA92" s="122">
        <f>客服部最终提成计算表!$X94*0.15*0.8*0.08*'18年合同登记表'!AD121/'18年合同登记表'!$M121</f>
        <v>0</v>
      </c>
      <c r="AB92" s="122">
        <f>客服部最终提成计算表!$X94*0.15*0.8*0.05*'18年合同登记表'!AD121/'18年合同登记表'!$M121</f>
        <v>0</v>
      </c>
      <c r="AC92" s="122">
        <f>客服部最终提成计算表!$X94*0.15*0.8*0.02*'18年合同登记表'!AD121/'18年合同登记表'!$M121</f>
        <v>0</v>
      </c>
      <c r="AD92" s="122">
        <f>客服部最终提成计算表!$X94*0.15*0.8*0.85*'18年合同登记表'!AF121/'18年合同登记表'!$M121</f>
        <v>0</v>
      </c>
      <c r="AE92" s="122">
        <f>客服部最终提成计算表!$X94*0.15*0.8*0.08*'18年合同登记表'!AF121/'18年合同登记表'!$M121</f>
        <v>0</v>
      </c>
      <c r="AF92" s="122">
        <f>客服部最终提成计算表!$X94*0.15*0.8*0.05*'18年合同登记表'!AF121/'18年合同登记表'!$M121</f>
        <v>0</v>
      </c>
      <c r="AG92" s="122">
        <f>客服部最终提成计算表!$X94*0.15*0.8*0.02*'18年合同登记表'!AF121/'18年合同登记表'!$M121</f>
        <v>0</v>
      </c>
      <c r="AH92" s="122">
        <f>客服部最终提成计算表!$X94*0.15*0.8*0.85*'18年合同登记表'!AH121/'18年合同登记表'!$M121</f>
        <v>0</v>
      </c>
      <c r="AI92" s="122">
        <f>客服部最终提成计算表!$X94*0.15*0.8*0.08*'18年合同登记表'!AH121/'18年合同登记表'!$M121</f>
        <v>0</v>
      </c>
      <c r="AJ92" s="122">
        <f>客服部最终提成计算表!$X94*0.15*0.8*0.05*'18年合同登记表'!AH121/'18年合同登记表'!$M121</f>
        <v>0</v>
      </c>
      <c r="AK92" s="122">
        <f>客服部最终提成计算表!$X94*0.15*0.8*0.02*'18年合同登记表'!AH121/'18年合同登记表'!$M121</f>
        <v>0</v>
      </c>
      <c r="AL92" s="122">
        <f>客服部最终提成计算表!$X94*0.15*0.8*0.85*'18年合同登记表'!AJ121/'18年合同登记表'!$M121</f>
        <v>0</v>
      </c>
      <c r="AM92" s="122">
        <f>客服部最终提成计算表!$X94*0.15*0.8*0.08*'18年合同登记表'!AJ121/'18年合同登记表'!$M121</f>
        <v>0</v>
      </c>
      <c r="AN92" s="122">
        <f>客服部最终提成计算表!$X94*0.15*0.8*0.05*'18年合同登记表'!AJ121/'18年合同登记表'!$M121</f>
        <v>0</v>
      </c>
      <c r="AO92" s="122">
        <f>客服部最终提成计算表!$X94*0.15*0.8*0.02*'18年合同登记表'!AJ121/'18年合同登记表'!$M121</f>
        <v>0</v>
      </c>
      <c r="AP92" s="122">
        <f>客服部最终提成计算表!$X94*0.15*0.8*0.85*'18年合同登记表'!AL121/'18年合同登记表'!$M121</f>
        <v>0</v>
      </c>
      <c r="AQ92" s="122">
        <f>客服部最终提成计算表!$X94*0.15*0.8*0.08*'18年合同登记表'!AL121/'18年合同登记表'!$M121</f>
        <v>0</v>
      </c>
      <c r="AR92" s="122">
        <f>客服部最终提成计算表!$X94*0.15*0.8*0.05*'18年合同登记表'!AL121/'18年合同登记表'!$M121</f>
        <v>0</v>
      </c>
      <c r="AS92" s="122">
        <f>客服部最终提成计算表!$X94*0.15*0.8*0.02*'18年合同登记表'!AL121/'18年合同登记表'!$M121</f>
        <v>0</v>
      </c>
      <c r="AT92" s="122">
        <f>客服部最终提成计算表!$X94*0.15*0.8*0.85*'18年合同登记表'!AN121/'18年合同登记表'!$M121</f>
        <v>765</v>
      </c>
      <c r="AU92" s="122">
        <f>客服部最终提成计算表!$X94*0.15*0.8*0.08*'18年合同登记表'!AN121/'18年合同登记表'!$M121</f>
        <v>72</v>
      </c>
      <c r="AV92" s="122">
        <f>客服部最终提成计算表!$X94*0.15*0.8*0.05*'18年合同登记表'!AN121/'18年合同登记表'!$M121</f>
        <v>45</v>
      </c>
      <c r="AW92" s="122">
        <f>客服部最终提成计算表!$X94*0.15*0.8*0.02*'18年合同登记表'!AN121/'18年合同登记表'!$M121</f>
        <v>18</v>
      </c>
      <c r="AX92" s="122">
        <f>客服部最终提成计算表!$X94*0.15*0.8*0.85*'18年合同登记表'!AP121/'18年合同登记表'!$M121</f>
        <v>0</v>
      </c>
      <c r="AY92" s="122">
        <f>客服部最终提成计算表!$X94*0.15*0.8*0.08*'18年合同登记表'!AP121/'18年合同登记表'!$M121</f>
        <v>0</v>
      </c>
      <c r="AZ92" s="122">
        <f>客服部最终提成计算表!$X94*0.15*0.8*0.05*'18年合同登记表'!AP121/'18年合同登记表'!$M121</f>
        <v>0</v>
      </c>
      <c r="BA92" s="131">
        <f>客服部最终提成计算表!$X94*0.15*0.8*0.02*'18年合同登记表'!AP121/'18年合同登记表'!$M121</f>
        <v>0</v>
      </c>
    </row>
    <row r="93" s="104" customFormat="1" ht="14.25" spans="1:53">
      <c r="A93" s="117"/>
      <c r="B93" s="118" t="str">
        <f>'18年合同登记表'!F122</f>
        <v>通惠大厦</v>
      </c>
      <c r="C93" s="119" t="str">
        <f>'18年合同登记表'!H122</f>
        <v>NHY-20180807-L-01-01-049</v>
      </c>
      <c r="D93" s="119" t="str">
        <f>'18年合同登记表'!I122</f>
        <v>直燃机年度维保</v>
      </c>
      <c r="E93" s="120" t="str">
        <f>'18年合同登记表'!L122</f>
        <v>陈勇</v>
      </c>
      <c r="F93" s="121">
        <f>客服部最终提成计算表!$X95*0.15*0.8*0.85*'18年合同登记表'!T122/'18年合同登记表'!$M122</f>
        <v>0</v>
      </c>
      <c r="G93" s="122">
        <f>客服部最终提成计算表!$X95*0.15*0.8*0.08*'18年合同登记表'!T122/'18年合同登记表'!$M122</f>
        <v>0</v>
      </c>
      <c r="H93" s="122">
        <f>客服部最终提成计算表!$X95*0.15*0.8*0.05*'18年合同登记表'!T122/'18年合同登记表'!$M122</f>
        <v>0</v>
      </c>
      <c r="I93" s="122">
        <f>客服部最终提成计算表!$X95*0.15*0.8*0.02*'18年合同登记表'!T122/'18年合同登记表'!$M122</f>
        <v>0</v>
      </c>
      <c r="J93" s="122">
        <f>客服部最终提成计算表!$X95*0.15*0.8*0.85*'18年合同登记表'!V122/'18年合同登记表'!$M122</f>
        <v>0</v>
      </c>
      <c r="K93" s="122">
        <f>客服部最终提成计算表!$X95*0.15*0.8*0.08*'18年合同登记表'!V122/'18年合同登记表'!$M122</f>
        <v>0</v>
      </c>
      <c r="L93" s="122">
        <f>客服部最终提成计算表!$X95*0.15*0.8*0.05*'18年合同登记表'!V122/'18年合同登记表'!$M122</f>
        <v>0</v>
      </c>
      <c r="M93" s="122">
        <f>客服部最终提成计算表!$X95*0.15*0.8*0.02*'18年合同登记表'!V122/'18年合同登记表'!$M122</f>
        <v>0</v>
      </c>
      <c r="N93" s="122">
        <f>客服部最终提成计算表!$X95*0.15*0.8*0.85*'18年合同登记表'!X122/'18年合同登记表'!$M122</f>
        <v>0</v>
      </c>
      <c r="O93" s="122">
        <f>客服部最终提成计算表!$X95*0.15*0.8*0.08*'18年合同登记表'!X122/'18年合同登记表'!$M122</f>
        <v>0</v>
      </c>
      <c r="P93" s="122">
        <f>客服部最终提成计算表!$X95*0.15*0.8*0.05*'18年合同登记表'!X122/'18年合同登记表'!$M122</f>
        <v>0</v>
      </c>
      <c r="Q93" s="122">
        <f>客服部最终提成计算表!$X95*0.15*0.8*0.02*'18年合同登记表'!X122/'18年合同登记表'!$M122</f>
        <v>0</v>
      </c>
      <c r="R93" s="122">
        <f>客服部最终提成计算表!$X95*0.15*0.8*0.85*'18年合同登记表'!Z122/'18年合同登记表'!$M122</f>
        <v>0</v>
      </c>
      <c r="S93" s="122">
        <f>客服部最终提成计算表!$X95*0.15*0.8*0.08*'18年合同登记表'!Z122/'18年合同登记表'!$M122</f>
        <v>0</v>
      </c>
      <c r="T93" s="122">
        <f>客服部最终提成计算表!$X95*0.15*0.8*0.05*'18年合同登记表'!Z122/'18年合同登记表'!$M122</f>
        <v>0</v>
      </c>
      <c r="U93" s="122">
        <f>客服部最终提成计算表!$X95*0.15*0.8*0.02*'18年合同登记表'!Z122/'18年合同登记表'!$M122</f>
        <v>0</v>
      </c>
      <c r="V93" s="122">
        <f>客服部最终提成计算表!$X95*0.15*0.8*0.85*'18年合同登记表'!AB122/'18年合同登记表'!$M122</f>
        <v>0</v>
      </c>
      <c r="W93" s="122">
        <f>客服部最终提成计算表!$X95*0.15*0.8*0.08*'18年合同登记表'!AB122/'18年合同登记表'!$M122</f>
        <v>0</v>
      </c>
      <c r="X93" s="122">
        <f>客服部最终提成计算表!$X95*0.15*0.8*0.05*'18年合同登记表'!AB122/'18年合同登记表'!$M122</f>
        <v>0</v>
      </c>
      <c r="Y93" s="122">
        <f>客服部最终提成计算表!$X95*0.15*0.8*0.02*'18年合同登记表'!AB122/'18年合同登记表'!$M122</f>
        <v>0</v>
      </c>
      <c r="Z93" s="122">
        <f>客服部最终提成计算表!$X95*0.15*0.8*0.85*'18年合同登记表'!AD122/'18年合同登记表'!$M122</f>
        <v>0</v>
      </c>
      <c r="AA93" s="122">
        <f>客服部最终提成计算表!$X95*0.15*0.8*0.08*'18年合同登记表'!AD122/'18年合同登记表'!$M122</f>
        <v>0</v>
      </c>
      <c r="AB93" s="122">
        <f>客服部最终提成计算表!$X95*0.15*0.8*0.05*'18年合同登记表'!AD122/'18年合同登记表'!$M122</f>
        <v>0</v>
      </c>
      <c r="AC93" s="122">
        <f>客服部最终提成计算表!$X95*0.15*0.8*0.02*'18年合同登记表'!AD122/'18年合同登记表'!$M122</f>
        <v>0</v>
      </c>
      <c r="AD93" s="122">
        <f>客服部最终提成计算表!$X95*0.15*0.8*0.85*'18年合同登记表'!AF122/'18年合同登记表'!$M122</f>
        <v>0</v>
      </c>
      <c r="AE93" s="122">
        <f>客服部最终提成计算表!$X95*0.15*0.8*0.08*'18年合同登记表'!AF122/'18年合同登记表'!$M122</f>
        <v>0</v>
      </c>
      <c r="AF93" s="122">
        <f>客服部最终提成计算表!$X95*0.15*0.8*0.05*'18年合同登记表'!AF122/'18年合同登记表'!$M122</f>
        <v>0</v>
      </c>
      <c r="AG93" s="122">
        <f>客服部最终提成计算表!$X95*0.15*0.8*0.02*'18年合同登记表'!AF122/'18年合同登记表'!$M122</f>
        <v>0</v>
      </c>
      <c r="AH93" s="122">
        <f>客服部最终提成计算表!$X95*0.15*0.8*0.85*'18年合同登记表'!AH122/'18年合同登记表'!$M122</f>
        <v>0</v>
      </c>
      <c r="AI93" s="122">
        <f>客服部最终提成计算表!$X95*0.15*0.8*0.08*'18年合同登记表'!AH122/'18年合同登记表'!$M122</f>
        <v>0</v>
      </c>
      <c r="AJ93" s="122">
        <f>客服部最终提成计算表!$X95*0.15*0.8*0.05*'18年合同登记表'!AH122/'18年合同登记表'!$M122</f>
        <v>0</v>
      </c>
      <c r="AK93" s="122">
        <f>客服部最终提成计算表!$X95*0.15*0.8*0.02*'18年合同登记表'!AH122/'18年合同登记表'!$M122</f>
        <v>0</v>
      </c>
      <c r="AL93" s="122">
        <f>客服部最终提成计算表!$X95*0.15*0.8*0.85*'18年合同登记表'!AJ122/'18年合同登记表'!$M122</f>
        <v>0</v>
      </c>
      <c r="AM93" s="122">
        <f>客服部最终提成计算表!$X95*0.15*0.8*0.08*'18年合同登记表'!AJ122/'18年合同登记表'!$M122</f>
        <v>0</v>
      </c>
      <c r="AN93" s="122">
        <f>客服部最终提成计算表!$X95*0.15*0.8*0.05*'18年合同登记表'!AJ122/'18年合同登记表'!$M122</f>
        <v>0</v>
      </c>
      <c r="AO93" s="122">
        <f>客服部最终提成计算表!$X95*0.15*0.8*0.02*'18年合同登记表'!AJ122/'18年合同登记表'!$M122</f>
        <v>0</v>
      </c>
      <c r="AP93" s="122">
        <f>客服部最终提成计算表!$X95*0.15*0.8*0.85*'18年合同登记表'!AL122/'18年合同登记表'!$M122</f>
        <v>0</v>
      </c>
      <c r="AQ93" s="122">
        <f>客服部最终提成计算表!$X95*0.15*0.8*0.08*'18年合同登记表'!AL122/'18年合同登记表'!$M122</f>
        <v>0</v>
      </c>
      <c r="AR93" s="122">
        <f>客服部最终提成计算表!$X95*0.15*0.8*0.05*'18年合同登记表'!AL122/'18年合同登记表'!$M122</f>
        <v>0</v>
      </c>
      <c r="AS93" s="122">
        <f>客服部最终提成计算表!$X95*0.15*0.8*0.02*'18年合同登记表'!AL122/'18年合同登记表'!$M122</f>
        <v>0</v>
      </c>
      <c r="AT93" s="122">
        <f>客服部最终提成计算表!$X95*0.15*0.8*0.85*'18年合同登记表'!AN122/'18年合同登记表'!$M122</f>
        <v>0</v>
      </c>
      <c r="AU93" s="122">
        <f>客服部最终提成计算表!$X95*0.15*0.8*0.08*'18年合同登记表'!AN122/'18年合同登记表'!$M122</f>
        <v>0</v>
      </c>
      <c r="AV93" s="122">
        <f>客服部最终提成计算表!$X95*0.15*0.8*0.05*'18年合同登记表'!AN122/'18年合同登记表'!$M122</f>
        <v>0</v>
      </c>
      <c r="AW93" s="122">
        <f>客服部最终提成计算表!$X95*0.15*0.8*0.02*'18年合同登记表'!AN122/'18年合同登记表'!$M122</f>
        <v>0</v>
      </c>
      <c r="AX93" s="122">
        <f>客服部最终提成计算表!$X95*0.15*0.8*0.85*'18年合同登记表'!AP122/'18年合同登记表'!$M122</f>
        <v>816</v>
      </c>
      <c r="AY93" s="122">
        <f>客服部最终提成计算表!$X95*0.15*0.8*0.08*'18年合同登记表'!AP122/'18年合同登记表'!$M122</f>
        <v>76.8</v>
      </c>
      <c r="AZ93" s="122">
        <f>客服部最终提成计算表!$X95*0.15*0.8*0.05*'18年合同登记表'!AP122/'18年合同登记表'!$M122</f>
        <v>48</v>
      </c>
      <c r="BA93" s="131">
        <f>客服部最终提成计算表!$X95*0.15*0.8*0.02*'18年合同登记表'!AP122/'18年合同登记表'!$M122</f>
        <v>19.2</v>
      </c>
    </row>
    <row r="94" s="104" customFormat="1" ht="14.25" spans="1:53">
      <c r="A94" s="117"/>
      <c r="B94" s="118" t="str">
        <f>'18年合同登记表'!F123</f>
        <v>豪庭酒店</v>
      </c>
      <c r="C94" s="119" t="str">
        <f>'18年合同登记表'!H123</f>
        <v>NHY-20180804-L-01-01-049</v>
      </c>
      <c r="D94" s="119" t="str">
        <f>'18年合同登记表'!I123</f>
        <v>直燃机维修技术服务</v>
      </c>
      <c r="E94" s="120" t="str">
        <f>'18年合同登记表'!L123</f>
        <v>王东</v>
      </c>
      <c r="F94" s="121">
        <f>客服部最终提成计算表!$X96*0.15*0.8*0.85*'18年合同登记表'!T123/'18年合同登记表'!$M123</f>
        <v>0</v>
      </c>
      <c r="G94" s="122">
        <f>客服部最终提成计算表!$X96*0.15*0.8*0.08*'18年合同登记表'!T123/'18年合同登记表'!$M123</f>
        <v>0</v>
      </c>
      <c r="H94" s="122">
        <f>客服部最终提成计算表!$X96*0.15*0.8*0.05*'18年合同登记表'!T123/'18年合同登记表'!$M123</f>
        <v>0</v>
      </c>
      <c r="I94" s="122">
        <f>客服部最终提成计算表!$X96*0.15*0.8*0.02*'18年合同登记表'!T123/'18年合同登记表'!$M123</f>
        <v>0</v>
      </c>
      <c r="J94" s="122">
        <f>客服部最终提成计算表!$X96*0.15*0.8*0.85*'18年合同登记表'!V123/'18年合同登记表'!$M123</f>
        <v>0</v>
      </c>
      <c r="K94" s="122">
        <f>客服部最终提成计算表!$X96*0.15*0.8*0.08*'18年合同登记表'!V123/'18年合同登记表'!$M123</f>
        <v>0</v>
      </c>
      <c r="L94" s="122">
        <f>客服部最终提成计算表!$X96*0.15*0.8*0.05*'18年合同登记表'!V123/'18年合同登记表'!$M123</f>
        <v>0</v>
      </c>
      <c r="M94" s="122">
        <f>客服部最终提成计算表!$X96*0.15*0.8*0.02*'18年合同登记表'!V123/'18年合同登记表'!$M123</f>
        <v>0</v>
      </c>
      <c r="N94" s="122">
        <f>客服部最终提成计算表!$X96*0.15*0.8*0.85*'18年合同登记表'!X123/'18年合同登记表'!$M123</f>
        <v>0</v>
      </c>
      <c r="O94" s="122">
        <f>客服部最终提成计算表!$X96*0.15*0.8*0.08*'18年合同登记表'!X123/'18年合同登记表'!$M123</f>
        <v>0</v>
      </c>
      <c r="P94" s="122">
        <f>客服部最终提成计算表!$X96*0.15*0.8*0.05*'18年合同登记表'!X123/'18年合同登记表'!$M123</f>
        <v>0</v>
      </c>
      <c r="Q94" s="122">
        <f>客服部最终提成计算表!$X96*0.15*0.8*0.02*'18年合同登记表'!X123/'18年合同登记表'!$M123</f>
        <v>0</v>
      </c>
      <c r="R94" s="122">
        <f>客服部最终提成计算表!$X96*0.15*0.8*0.85*'18年合同登记表'!Z123/'18年合同登记表'!$M123</f>
        <v>0</v>
      </c>
      <c r="S94" s="122">
        <f>客服部最终提成计算表!$X96*0.15*0.8*0.08*'18年合同登记表'!Z123/'18年合同登记表'!$M123</f>
        <v>0</v>
      </c>
      <c r="T94" s="122">
        <f>客服部最终提成计算表!$X96*0.15*0.8*0.05*'18年合同登记表'!Z123/'18年合同登记表'!$M123</f>
        <v>0</v>
      </c>
      <c r="U94" s="122">
        <f>客服部最终提成计算表!$X96*0.15*0.8*0.02*'18年合同登记表'!Z123/'18年合同登记表'!$M123</f>
        <v>0</v>
      </c>
      <c r="V94" s="122">
        <f>客服部最终提成计算表!$X96*0.15*0.8*0.85*'18年合同登记表'!AB123/'18年合同登记表'!$M123</f>
        <v>0</v>
      </c>
      <c r="W94" s="122">
        <f>客服部最终提成计算表!$X96*0.15*0.8*0.08*'18年合同登记表'!AB123/'18年合同登记表'!$M123</f>
        <v>0</v>
      </c>
      <c r="X94" s="122">
        <f>客服部最终提成计算表!$X96*0.15*0.8*0.05*'18年合同登记表'!AB123/'18年合同登记表'!$M123</f>
        <v>0</v>
      </c>
      <c r="Y94" s="122">
        <f>客服部最终提成计算表!$X96*0.15*0.8*0.02*'18年合同登记表'!AB123/'18年合同登记表'!$M123</f>
        <v>0</v>
      </c>
      <c r="Z94" s="122">
        <f>客服部最终提成计算表!$X96*0.15*0.8*0.85*'18年合同登记表'!AD123/'18年合同登记表'!$M123</f>
        <v>0</v>
      </c>
      <c r="AA94" s="122">
        <f>客服部最终提成计算表!$X96*0.15*0.8*0.08*'18年合同登记表'!AD123/'18年合同登记表'!$M123</f>
        <v>0</v>
      </c>
      <c r="AB94" s="122">
        <f>客服部最终提成计算表!$X96*0.15*0.8*0.05*'18年合同登记表'!AD123/'18年合同登记表'!$M123</f>
        <v>0</v>
      </c>
      <c r="AC94" s="122">
        <f>客服部最终提成计算表!$X96*0.15*0.8*0.02*'18年合同登记表'!AD123/'18年合同登记表'!$M123</f>
        <v>0</v>
      </c>
      <c r="AD94" s="122">
        <f>客服部最终提成计算表!$X96*0.15*0.8*0.85*'18年合同登记表'!AF123/'18年合同登记表'!$M123</f>
        <v>0</v>
      </c>
      <c r="AE94" s="122">
        <f>客服部最终提成计算表!$X96*0.15*0.8*0.08*'18年合同登记表'!AF123/'18年合同登记表'!$M123</f>
        <v>0</v>
      </c>
      <c r="AF94" s="122">
        <f>客服部最终提成计算表!$X96*0.15*0.8*0.05*'18年合同登记表'!AF123/'18年合同登记表'!$M123</f>
        <v>0</v>
      </c>
      <c r="AG94" s="122">
        <f>客服部最终提成计算表!$X96*0.15*0.8*0.02*'18年合同登记表'!AF123/'18年合同登记表'!$M123</f>
        <v>0</v>
      </c>
      <c r="AH94" s="122">
        <f>客服部最终提成计算表!$X96*0.15*0.8*0.85*'18年合同登记表'!AH123/'18年合同登记表'!$M123</f>
        <v>4590</v>
      </c>
      <c r="AI94" s="122">
        <f>客服部最终提成计算表!$X96*0.15*0.8*0.08*'18年合同登记表'!AH123/'18年合同登记表'!$M123</f>
        <v>432</v>
      </c>
      <c r="AJ94" s="122">
        <f>客服部最终提成计算表!$X96*0.15*0.8*0.05*'18年合同登记表'!AH123/'18年合同登记表'!$M123</f>
        <v>270</v>
      </c>
      <c r="AK94" s="122">
        <f>客服部最终提成计算表!$X96*0.15*0.8*0.02*'18年合同登记表'!AH123/'18年合同登记表'!$M123</f>
        <v>108</v>
      </c>
      <c r="AL94" s="122">
        <f>客服部最终提成计算表!$X96*0.15*0.8*0.85*'18年合同登记表'!AJ123/'18年合同登记表'!$M123</f>
        <v>0</v>
      </c>
      <c r="AM94" s="122">
        <f>客服部最终提成计算表!$X96*0.15*0.8*0.08*'18年合同登记表'!AJ123/'18年合同登记表'!$M123</f>
        <v>0</v>
      </c>
      <c r="AN94" s="122">
        <f>客服部最终提成计算表!$X96*0.15*0.8*0.05*'18年合同登记表'!AJ123/'18年合同登记表'!$M123</f>
        <v>0</v>
      </c>
      <c r="AO94" s="122">
        <f>客服部最终提成计算表!$X96*0.15*0.8*0.02*'18年合同登记表'!AJ123/'18年合同登记表'!$M123</f>
        <v>0</v>
      </c>
      <c r="AP94" s="122">
        <f>客服部最终提成计算表!$X96*0.15*0.8*0.85*'18年合同登记表'!AL123/'18年合同登记表'!$M123</f>
        <v>0</v>
      </c>
      <c r="AQ94" s="122">
        <f>客服部最终提成计算表!$X96*0.15*0.8*0.08*'18年合同登记表'!AL123/'18年合同登记表'!$M123</f>
        <v>0</v>
      </c>
      <c r="AR94" s="122">
        <f>客服部最终提成计算表!$X96*0.15*0.8*0.05*'18年合同登记表'!AL123/'18年合同登记表'!$M123</f>
        <v>0</v>
      </c>
      <c r="AS94" s="122">
        <f>客服部最终提成计算表!$X96*0.15*0.8*0.02*'18年合同登记表'!AL123/'18年合同登记表'!$M123</f>
        <v>0</v>
      </c>
      <c r="AT94" s="122">
        <f>客服部最终提成计算表!$X96*0.15*0.8*0.85*'18年合同登记表'!AN123/'18年合同登记表'!$M123</f>
        <v>0</v>
      </c>
      <c r="AU94" s="122">
        <f>客服部最终提成计算表!$X96*0.15*0.8*0.08*'18年合同登记表'!AN123/'18年合同登记表'!$M123</f>
        <v>0</v>
      </c>
      <c r="AV94" s="122">
        <f>客服部最终提成计算表!$X96*0.15*0.8*0.05*'18年合同登记表'!AN123/'18年合同登记表'!$M123</f>
        <v>0</v>
      </c>
      <c r="AW94" s="122">
        <f>客服部最终提成计算表!$X96*0.15*0.8*0.02*'18年合同登记表'!AN123/'18年合同登记表'!$M123</f>
        <v>0</v>
      </c>
      <c r="AX94" s="122">
        <f>客服部最终提成计算表!$X96*0.15*0.8*0.85*'18年合同登记表'!AP123/'18年合同登记表'!$M123</f>
        <v>0</v>
      </c>
      <c r="AY94" s="122">
        <f>客服部最终提成计算表!$X96*0.15*0.8*0.08*'18年合同登记表'!AP123/'18年合同登记表'!$M123</f>
        <v>0</v>
      </c>
      <c r="AZ94" s="122">
        <f>客服部最终提成计算表!$X96*0.15*0.8*0.05*'18年合同登记表'!AP123/'18年合同登记表'!$M123</f>
        <v>0</v>
      </c>
      <c r="BA94" s="131">
        <f>客服部最终提成计算表!$X96*0.15*0.8*0.02*'18年合同登记表'!AP123/'18年合同登记表'!$M123</f>
        <v>0</v>
      </c>
    </row>
    <row r="95" s="104" customFormat="1" ht="14.25" spans="1:53">
      <c r="A95" s="117"/>
      <c r="B95" s="118" t="str">
        <f>'18年合同登记表'!F124</f>
        <v>华通大厦</v>
      </c>
      <c r="C95" s="119" t="str">
        <f>'18年合同登记表'!H124</f>
        <v> </v>
      </c>
      <c r="D95" s="119" t="str">
        <f>'18年合同登记表'!I124</f>
        <v>直燃机维修项目</v>
      </c>
      <c r="E95" s="120" t="str">
        <f>'18年合同登记表'!L124</f>
        <v>王东</v>
      </c>
      <c r="F95" s="121">
        <f>客服部最终提成计算表!$X97*0.15*0.8*0.85*'18年合同登记表'!T124/'18年合同登记表'!$M124</f>
        <v>0</v>
      </c>
      <c r="G95" s="122">
        <f>客服部最终提成计算表!$X97*0.15*0.8*0.08*'18年合同登记表'!T124/'18年合同登记表'!$M124</f>
        <v>0</v>
      </c>
      <c r="H95" s="122">
        <f>客服部最终提成计算表!$X97*0.15*0.8*0.05*'18年合同登记表'!T124/'18年合同登记表'!$M124</f>
        <v>0</v>
      </c>
      <c r="I95" s="122">
        <f>客服部最终提成计算表!$X97*0.15*0.8*0.02*'18年合同登记表'!T124/'18年合同登记表'!$M124</f>
        <v>0</v>
      </c>
      <c r="J95" s="122">
        <f>客服部最终提成计算表!$X97*0.15*0.8*0.85*'18年合同登记表'!V124/'18年合同登记表'!$M124</f>
        <v>0</v>
      </c>
      <c r="K95" s="122">
        <f>客服部最终提成计算表!$X97*0.15*0.8*0.08*'18年合同登记表'!V124/'18年合同登记表'!$M124</f>
        <v>0</v>
      </c>
      <c r="L95" s="122">
        <f>客服部最终提成计算表!$X97*0.15*0.8*0.05*'18年合同登记表'!V124/'18年合同登记表'!$M124</f>
        <v>0</v>
      </c>
      <c r="M95" s="122">
        <f>客服部最终提成计算表!$X97*0.15*0.8*0.02*'18年合同登记表'!V124/'18年合同登记表'!$M124</f>
        <v>0</v>
      </c>
      <c r="N95" s="122">
        <f>客服部最终提成计算表!$X97*0.15*0.8*0.85*'18年合同登记表'!X124/'18年合同登记表'!$M124</f>
        <v>0</v>
      </c>
      <c r="O95" s="122">
        <f>客服部最终提成计算表!$X97*0.15*0.8*0.08*'18年合同登记表'!X124/'18年合同登记表'!$M124</f>
        <v>0</v>
      </c>
      <c r="P95" s="122">
        <f>客服部最终提成计算表!$X97*0.15*0.8*0.05*'18年合同登记表'!X124/'18年合同登记表'!$M124</f>
        <v>0</v>
      </c>
      <c r="Q95" s="122">
        <f>客服部最终提成计算表!$X97*0.15*0.8*0.02*'18年合同登记表'!X124/'18年合同登记表'!$M124</f>
        <v>0</v>
      </c>
      <c r="R95" s="122">
        <f>客服部最终提成计算表!$X97*0.15*0.8*0.85*'18年合同登记表'!Z124/'18年合同登记表'!$M124</f>
        <v>0</v>
      </c>
      <c r="S95" s="122">
        <f>客服部最终提成计算表!$X97*0.15*0.8*0.08*'18年合同登记表'!Z124/'18年合同登记表'!$M124</f>
        <v>0</v>
      </c>
      <c r="T95" s="122">
        <f>客服部最终提成计算表!$X97*0.15*0.8*0.05*'18年合同登记表'!Z124/'18年合同登记表'!$M124</f>
        <v>0</v>
      </c>
      <c r="U95" s="122">
        <f>客服部最终提成计算表!$X97*0.15*0.8*0.02*'18年合同登记表'!Z124/'18年合同登记表'!$M124</f>
        <v>0</v>
      </c>
      <c r="V95" s="122">
        <f>客服部最终提成计算表!$X97*0.15*0.8*0.85*'18年合同登记表'!AB124/'18年合同登记表'!$M124</f>
        <v>0</v>
      </c>
      <c r="W95" s="122">
        <f>客服部最终提成计算表!$X97*0.15*0.8*0.08*'18年合同登记表'!AB124/'18年合同登记表'!$M124</f>
        <v>0</v>
      </c>
      <c r="X95" s="122">
        <f>客服部最终提成计算表!$X97*0.15*0.8*0.05*'18年合同登记表'!AB124/'18年合同登记表'!$M124</f>
        <v>0</v>
      </c>
      <c r="Y95" s="122">
        <f>客服部最终提成计算表!$X97*0.15*0.8*0.02*'18年合同登记表'!AB124/'18年合同登记表'!$M124</f>
        <v>0</v>
      </c>
      <c r="Z95" s="122">
        <f>客服部最终提成计算表!$X97*0.15*0.8*0.85*'18年合同登记表'!AD124/'18年合同登记表'!$M124</f>
        <v>0</v>
      </c>
      <c r="AA95" s="122">
        <f>客服部最终提成计算表!$X97*0.15*0.8*0.08*'18年合同登记表'!AD124/'18年合同登记表'!$M124</f>
        <v>0</v>
      </c>
      <c r="AB95" s="122">
        <f>客服部最终提成计算表!$X97*0.15*0.8*0.05*'18年合同登记表'!AD124/'18年合同登记表'!$M124</f>
        <v>0</v>
      </c>
      <c r="AC95" s="122">
        <f>客服部最终提成计算表!$X97*0.15*0.8*0.02*'18年合同登记表'!AD124/'18年合同登记表'!$M124</f>
        <v>0</v>
      </c>
      <c r="AD95" s="122">
        <f>客服部最终提成计算表!$X97*0.15*0.8*0.85*'18年合同登记表'!AF124/'18年合同登记表'!$M124</f>
        <v>0</v>
      </c>
      <c r="AE95" s="122">
        <f>客服部最终提成计算表!$X97*0.15*0.8*0.08*'18年合同登记表'!AF124/'18年合同登记表'!$M124</f>
        <v>0</v>
      </c>
      <c r="AF95" s="122">
        <f>客服部最终提成计算表!$X97*0.15*0.8*0.05*'18年合同登记表'!AF124/'18年合同登记表'!$M124</f>
        <v>0</v>
      </c>
      <c r="AG95" s="122">
        <f>客服部最终提成计算表!$X97*0.15*0.8*0.02*'18年合同登记表'!AF124/'18年合同登记表'!$M124</f>
        <v>0</v>
      </c>
      <c r="AH95" s="122">
        <f>客服部最终提成计算表!$X97*0.15*0.8*0.85*'18年合同登记表'!AH124/'18年合同登记表'!$M124</f>
        <v>2703</v>
      </c>
      <c r="AI95" s="122">
        <f>客服部最终提成计算表!$X97*0.15*0.8*0.08*'18年合同登记表'!AH124/'18年合同登记表'!$M124</f>
        <v>254.4</v>
      </c>
      <c r="AJ95" s="122">
        <f>客服部最终提成计算表!$X97*0.15*0.8*0.05*'18年合同登记表'!AH124/'18年合同登记表'!$M124</f>
        <v>159</v>
      </c>
      <c r="AK95" s="122">
        <f>客服部最终提成计算表!$X97*0.15*0.8*0.02*'18年合同登记表'!AH124/'18年合同登记表'!$M124</f>
        <v>63.6</v>
      </c>
      <c r="AL95" s="122">
        <f>客服部最终提成计算表!$X97*0.15*0.8*0.85*'18年合同登记表'!AJ124/'18年合同登记表'!$M124</f>
        <v>2703</v>
      </c>
      <c r="AM95" s="122">
        <f>客服部最终提成计算表!$X97*0.15*0.8*0.08*'18年合同登记表'!AJ124/'18年合同登记表'!$M124</f>
        <v>254.4</v>
      </c>
      <c r="AN95" s="122">
        <f>客服部最终提成计算表!$X97*0.15*0.8*0.05*'18年合同登记表'!AJ124/'18年合同登记表'!$M124</f>
        <v>159</v>
      </c>
      <c r="AO95" s="122">
        <f>客服部最终提成计算表!$X97*0.15*0.8*0.02*'18年合同登记表'!AJ124/'18年合同登记表'!$M124</f>
        <v>63.6</v>
      </c>
      <c r="AP95" s="122">
        <f>客服部最终提成计算表!$X97*0.15*0.8*0.85*'18年合同登记表'!AL124/'18年合同登记表'!$M124</f>
        <v>0</v>
      </c>
      <c r="AQ95" s="122">
        <f>客服部最终提成计算表!$X97*0.15*0.8*0.08*'18年合同登记表'!AL124/'18年合同登记表'!$M124</f>
        <v>0</v>
      </c>
      <c r="AR95" s="122">
        <f>客服部最终提成计算表!$X97*0.15*0.8*0.05*'18年合同登记表'!AL124/'18年合同登记表'!$M124</f>
        <v>0</v>
      </c>
      <c r="AS95" s="122">
        <f>客服部最终提成计算表!$X97*0.15*0.8*0.02*'18年合同登记表'!AL124/'18年合同登记表'!$M124</f>
        <v>0</v>
      </c>
      <c r="AT95" s="122">
        <f>客服部最终提成计算表!$X97*0.15*0.8*0.85*'18年合同登记表'!AN124/'18年合同登记表'!$M124</f>
        <v>0</v>
      </c>
      <c r="AU95" s="122">
        <f>客服部最终提成计算表!$X97*0.15*0.8*0.08*'18年合同登记表'!AN124/'18年合同登记表'!$M124</f>
        <v>0</v>
      </c>
      <c r="AV95" s="122">
        <f>客服部最终提成计算表!$X97*0.15*0.8*0.05*'18年合同登记表'!AN124/'18年合同登记表'!$M124</f>
        <v>0</v>
      </c>
      <c r="AW95" s="122">
        <f>客服部最终提成计算表!$X97*0.15*0.8*0.02*'18年合同登记表'!AN124/'18年合同登记表'!$M124</f>
        <v>0</v>
      </c>
      <c r="AX95" s="122">
        <f>客服部最终提成计算表!$X97*0.15*0.8*0.85*'18年合同登记表'!AP124/'18年合同登记表'!$M124</f>
        <v>0</v>
      </c>
      <c r="AY95" s="122">
        <f>客服部最终提成计算表!$X97*0.15*0.8*0.08*'18年合同登记表'!AP124/'18年合同登记表'!$M124</f>
        <v>0</v>
      </c>
      <c r="AZ95" s="122">
        <f>客服部最终提成计算表!$X97*0.15*0.8*0.05*'18年合同登记表'!AP124/'18年合同登记表'!$M124</f>
        <v>0</v>
      </c>
      <c r="BA95" s="131">
        <f>客服部最终提成计算表!$X97*0.15*0.8*0.02*'18年合同登记表'!AP124/'18年合同登记表'!$M124</f>
        <v>0</v>
      </c>
    </row>
    <row r="96" s="104" customFormat="1" ht="14.25" spans="1:53">
      <c r="A96" s="117"/>
      <c r="B96" s="118" t="str">
        <f>'18年合同登记表'!F125</f>
        <v>朝阳区规划艺术馆</v>
      </c>
      <c r="C96" s="119" t="str">
        <f>'18年合同登记表'!H125</f>
        <v>2018-33</v>
      </c>
      <c r="D96" s="119" t="str">
        <f>'18年合同登记表'!I125</f>
        <v>中央空调年度维保合同</v>
      </c>
      <c r="E96" s="120" t="str">
        <f>'18年合同登记表'!L125</f>
        <v>王东</v>
      </c>
      <c r="F96" s="121">
        <f>客服部最终提成计算表!$X98*0.15*0.8*0.85*'18年合同登记表'!T125/'18年合同登记表'!$M125</f>
        <v>0</v>
      </c>
      <c r="G96" s="122">
        <f>客服部最终提成计算表!$X98*0.15*0.8*0.08*'18年合同登记表'!T125/'18年合同登记表'!$M125</f>
        <v>0</v>
      </c>
      <c r="H96" s="122">
        <f>客服部最终提成计算表!$X98*0.15*0.8*0.05*'18年合同登记表'!T125/'18年合同登记表'!$M125</f>
        <v>0</v>
      </c>
      <c r="I96" s="122">
        <f>客服部最终提成计算表!$X98*0.15*0.8*0.02*'18年合同登记表'!T125/'18年合同登记表'!$M125</f>
        <v>0</v>
      </c>
      <c r="J96" s="122">
        <f>客服部最终提成计算表!$X98*0.15*0.8*0.85*'18年合同登记表'!V125/'18年合同登记表'!$M125</f>
        <v>0</v>
      </c>
      <c r="K96" s="122">
        <f>客服部最终提成计算表!$X98*0.15*0.8*0.08*'18年合同登记表'!V125/'18年合同登记表'!$M125</f>
        <v>0</v>
      </c>
      <c r="L96" s="122">
        <f>客服部最终提成计算表!$X98*0.15*0.8*0.05*'18年合同登记表'!V125/'18年合同登记表'!$M125</f>
        <v>0</v>
      </c>
      <c r="M96" s="122">
        <f>客服部最终提成计算表!$X98*0.15*0.8*0.02*'18年合同登记表'!V125/'18年合同登记表'!$M125</f>
        <v>0</v>
      </c>
      <c r="N96" s="122">
        <f>客服部最终提成计算表!$X98*0.15*0.8*0.85*'18年合同登记表'!X125/'18年合同登记表'!$M125</f>
        <v>0</v>
      </c>
      <c r="O96" s="122">
        <f>客服部最终提成计算表!$X98*0.15*0.8*0.08*'18年合同登记表'!X125/'18年合同登记表'!$M125</f>
        <v>0</v>
      </c>
      <c r="P96" s="122">
        <f>客服部最终提成计算表!$X98*0.15*0.8*0.05*'18年合同登记表'!X125/'18年合同登记表'!$M125</f>
        <v>0</v>
      </c>
      <c r="Q96" s="122">
        <f>客服部最终提成计算表!$X98*0.15*0.8*0.02*'18年合同登记表'!X125/'18年合同登记表'!$M125</f>
        <v>0</v>
      </c>
      <c r="R96" s="122">
        <f>客服部最终提成计算表!$X98*0.15*0.8*0.85*'18年合同登记表'!Z125/'18年合同登记表'!$M125</f>
        <v>0</v>
      </c>
      <c r="S96" s="122">
        <f>客服部最终提成计算表!$X98*0.15*0.8*0.08*'18年合同登记表'!Z125/'18年合同登记表'!$M125</f>
        <v>0</v>
      </c>
      <c r="T96" s="122">
        <f>客服部最终提成计算表!$X98*0.15*0.8*0.05*'18年合同登记表'!Z125/'18年合同登记表'!$M125</f>
        <v>0</v>
      </c>
      <c r="U96" s="122">
        <f>客服部最终提成计算表!$X98*0.15*0.8*0.02*'18年合同登记表'!Z125/'18年合同登记表'!$M125</f>
        <v>0</v>
      </c>
      <c r="V96" s="122">
        <f>客服部最终提成计算表!$X98*0.15*0.8*0.85*'18年合同登记表'!AB125/'18年合同登记表'!$M125</f>
        <v>0</v>
      </c>
      <c r="W96" s="122">
        <f>客服部最终提成计算表!$X98*0.15*0.8*0.08*'18年合同登记表'!AB125/'18年合同登记表'!$M125</f>
        <v>0</v>
      </c>
      <c r="X96" s="122">
        <f>客服部最终提成计算表!$X98*0.15*0.8*0.05*'18年合同登记表'!AB125/'18年合同登记表'!$M125</f>
        <v>0</v>
      </c>
      <c r="Y96" s="122">
        <f>客服部最终提成计算表!$X98*0.15*0.8*0.02*'18年合同登记表'!AB125/'18年合同登记表'!$M125</f>
        <v>0</v>
      </c>
      <c r="Z96" s="122">
        <f>客服部最终提成计算表!$X98*0.15*0.8*0.85*'18年合同登记表'!AD125/'18年合同登记表'!$M125</f>
        <v>0</v>
      </c>
      <c r="AA96" s="122">
        <f>客服部最终提成计算表!$X98*0.15*0.8*0.08*'18年合同登记表'!AD125/'18年合同登记表'!$M125</f>
        <v>0</v>
      </c>
      <c r="AB96" s="122">
        <f>客服部最终提成计算表!$X98*0.15*0.8*0.05*'18年合同登记表'!AD125/'18年合同登记表'!$M125</f>
        <v>0</v>
      </c>
      <c r="AC96" s="122">
        <f>客服部最终提成计算表!$X98*0.15*0.8*0.02*'18年合同登记表'!AD125/'18年合同登记表'!$M125</f>
        <v>0</v>
      </c>
      <c r="AD96" s="122">
        <f>客服部最终提成计算表!$X98*0.15*0.8*0.85*'18年合同登记表'!AF125/'18年合同登记表'!$M125</f>
        <v>0</v>
      </c>
      <c r="AE96" s="122">
        <f>客服部最终提成计算表!$X98*0.15*0.8*0.08*'18年合同登记表'!AF125/'18年合同登记表'!$M125</f>
        <v>0</v>
      </c>
      <c r="AF96" s="122">
        <f>客服部最终提成计算表!$X98*0.15*0.8*0.05*'18年合同登记表'!AF125/'18年合同登记表'!$M125</f>
        <v>0</v>
      </c>
      <c r="AG96" s="122">
        <f>客服部最终提成计算表!$X98*0.15*0.8*0.02*'18年合同登记表'!AF125/'18年合同登记表'!$M125</f>
        <v>0</v>
      </c>
      <c r="AH96" s="122">
        <f>客服部最终提成计算表!$X98*0.15*0.8*0.85*'18年合同登记表'!AH125/'18年合同登记表'!$M125</f>
        <v>0</v>
      </c>
      <c r="AI96" s="122">
        <f>客服部最终提成计算表!$X98*0.15*0.8*0.08*'18年合同登记表'!AH125/'18年合同登记表'!$M125</f>
        <v>0</v>
      </c>
      <c r="AJ96" s="122">
        <f>客服部最终提成计算表!$X98*0.15*0.8*0.05*'18年合同登记表'!AH125/'18年合同登记表'!$M125</f>
        <v>0</v>
      </c>
      <c r="AK96" s="122">
        <f>客服部最终提成计算表!$X98*0.15*0.8*0.02*'18年合同登记表'!AH125/'18年合同登记表'!$M125</f>
        <v>0</v>
      </c>
      <c r="AL96" s="122">
        <f>客服部最终提成计算表!$X98*0.15*0.8*0.85*'18年合同登记表'!AJ125/'18年合同登记表'!$M125</f>
        <v>0</v>
      </c>
      <c r="AM96" s="122">
        <f>客服部最终提成计算表!$X98*0.15*0.8*0.08*'18年合同登记表'!AJ125/'18年合同登记表'!$M125</f>
        <v>0</v>
      </c>
      <c r="AN96" s="122">
        <f>客服部最终提成计算表!$X98*0.15*0.8*0.05*'18年合同登记表'!AJ125/'18年合同登记表'!$M125</f>
        <v>0</v>
      </c>
      <c r="AO96" s="122">
        <f>客服部最终提成计算表!$X98*0.15*0.8*0.02*'18年合同登记表'!AJ125/'18年合同登记表'!$M125</f>
        <v>0</v>
      </c>
      <c r="AP96" s="122">
        <f>客服部最终提成计算表!$X98*0.15*0.8*0.85*'18年合同登记表'!AL125/'18年合同登记表'!$M125</f>
        <v>0</v>
      </c>
      <c r="AQ96" s="122">
        <f>客服部最终提成计算表!$X98*0.15*0.8*0.08*'18年合同登记表'!AL125/'18年合同登记表'!$M125</f>
        <v>0</v>
      </c>
      <c r="AR96" s="122">
        <f>客服部最终提成计算表!$X98*0.15*0.8*0.05*'18年合同登记表'!AL125/'18年合同登记表'!$M125</f>
        <v>0</v>
      </c>
      <c r="AS96" s="122">
        <f>客服部最终提成计算表!$X98*0.15*0.8*0.02*'18年合同登记表'!AL125/'18年合同登记表'!$M125</f>
        <v>0</v>
      </c>
      <c r="AT96" s="122">
        <f>客服部最终提成计算表!$X98*0.15*0.8*0.85*'18年合同登记表'!AN125/'18年合同登记表'!$M125</f>
        <v>6885</v>
      </c>
      <c r="AU96" s="122">
        <f>客服部最终提成计算表!$X98*0.15*0.8*0.08*'18年合同登记表'!AN125/'18年合同登记表'!$M125</f>
        <v>648</v>
      </c>
      <c r="AV96" s="122">
        <f>客服部最终提成计算表!$X98*0.15*0.8*0.05*'18年合同登记表'!AN125/'18年合同登记表'!$M125</f>
        <v>405</v>
      </c>
      <c r="AW96" s="122">
        <f>客服部最终提成计算表!$X98*0.15*0.8*0.02*'18年合同登记表'!AN125/'18年合同登记表'!$M125</f>
        <v>162</v>
      </c>
      <c r="AX96" s="122">
        <f>客服部最终提成计算表!$X98*0.15*0.8*0.85*'18年合同登记表'!AP125/'18年合同登记表'!$M125</f>
        <v>0</v>
      </c>
      <c r="AY96" s="122">
        <f>客服部最终提成计算表!$X98*0.15*0.8*0.08*'18年合同登记表'!AP125/'18年合同登记表'!$M125</f>
        <v>0</v>
      </c>
      <c r="AZ96" s="122">
        <f>客服部最终提成计算表!$X98*0.15*0.8*0.05*'18年合同登记表'!AP125/'18年合同登记表'!$M125</f>
        <v>0</v>
      </c>
      <c r="BA96" s="131">
        <f>客服部最终提成计算表!$X98*0.15*0.8*0.02*'18年合同登记表'!AP125/'18年合同登记表'!$M125</f>
        <v>0</v>
      </c>
    </row>
    <row r="97" s="104" customFormat="1" ht="14.25" spans="1:53">
      <c r="A97" s="117"/>
      <c r="B97" s="118" t="str">
        <f>'18年合同登记表'!F126</f>
        <v>崇文门物美</v>
      </c>
      <c r="C97" s="119" t="str">
        <f>'18年合同登记表'!H126</f>
        <v>NHY-20180723-W-01-01-001</v>
      </c>
      <c r="D97" s="119" t="str">
        <f>'18年合同登记表'!I126</f>
        <v>中央空调维修</v>
      </c>
      <c r="E97" s="120" t="str">
        <f>'18年合同登记表'!L126</f>
        <v>徐利斌</v>
      </c>
      <c r="F97" s="121">
        <f>客服部最终提成计算表!$X99*0.15*0.8*0.85*'18年合同登记表'!T126/'18年合同登记表'!$M126</f>
        <v>0</v>
      </c>
      <c r="G97" s="122">
        <f>客服部最终提成计算表!$X99*0.15*0.8*0.08*'18年合同登记表'!T126/'18年合同登记表'!$M126</f>
        <v>0</v>
      </c>
      <c r="H97" s="122">
        <f>客服部最终提成计算表!$X99*0.15*0.8*0.05*'18年合同登记表'!T126/'18年合同登记表'!$M126</f>
        <v>0</v>
      </c>
      <c r="I97" s="122">
        <f>客服部最终提成计算表!$X99*0.15*0.8*0.02*'18年合同登记表'!T126/'18年合同登记表'!$M126</f>
        <v>0</v>
      </c>
      <c r="J97" s="122">
        <f>客服部最终提成计算表!$X99*0.15*0.8*0.85*'18年合同登记表'!V126/'18年合同登记表'!$M126</f>
        <v>0</v>
      </c>
      <c r="K97" s="122">
        <f>客服部最终提成计算表!$X99*0.15*0.8*0.08*'18年合同登记表'!V126/'18年合同登记表'!$M126</f>
        <v>0</v>
      </c>
      <c r="L97" s="122">
        <f>客服部最终提成计算表!$X99*0.15*0.8*0.05*'18年合同登记表'!V126/'18年合同登记表'!$M126</f>
        <v>0</v>
      </c>
      <c r="M97" s="122">
        <f>客服部最终提成计算表!$X99*0.15*0.8*0.02*'18年合同登记表'!V126/'18年合同登记表'!$M126</f>
        <v>0</v>
      </c>
      <c r="N97" s="122">
        <f>客服部最终提成计算表!$X99*0.15*0.8*0.85*'18年合同登记表'!X126/'18年合同登记表'!$M126</f>
        <v>0</v>
      </c>
      <c r="O97" s="122">
        <f>客服部最终提成计算表!$X99*0.15*0.8*0.08*'18年合同登记表'!X126/'18年合同登记表'!$M126</f>
        <v>0</v>
      </c>
      <c r="P97" s="122">
        <f>客服部最终提成计算表!$X99*0.15*0.8*0.05*'18年合同登记表'!X126/'18年合同登记表'!$M126</f>
        <v>0</v>
      </c>
      <c r="Q97" s="122">
        <f>客服部最终提成计算表!$X99*0.15*0.8*0.02*'18年合同登记表'!X126/'18年合同登记表'!$M126</f>
        <v>0</v>
      </c>
      <c r="R97" s="122">
        <f>客服部最终提成计算表!$X99*0.15*0.8*0.85*'18年合同登记表'!Z126/'18年合同登记表'!$M126</f>
        <v>0</v>
      </c>
      <c r="S97" s="122">
        <f>客服部最终提成计算表!$X99*0.15*0.8*0.08*'18年合同登记表'!Z126/'18年合同登记表'!$M126</f>
        <v>0</v>
      </c>
      <c r="T97" s="122">
        <f>客服部最终提成计算表!$X99*0.15*0.8*0.05*'18年合同登记表'!Z126/'18年合同登记表'!$M126</f>
        <v>0</v>
      </c>
      <c r="U97" s="122">
        <f>客服部最终提成计算表!$X99*0.15*0.8*0.02*'18年合同登记表'!Z126/'18年合同登记表'!$M126</f>
        <v>0</v>
      </c>
      <c r="V97" s="122">
        <f>客服部最终提成计算表!$X99*0.15*0.8*0.85*'18年合同登记表'!AB126/'18年合同登记表'!$M126</f>
        <v>0</v>
      </c>
      <c r="W97" s="122">
        <f>客服部最终提成计算表!$X99*0.15*0.8*0.08*'18年合同登记表'!AB126/'18年合同登记表'!$M126</f>
        <v>0</v>
      </c>
      <c r="X97" s="122">
        <f>客服部最终提成计算表!$X99*0.15*0.8*0.05*'18年合同登记表'!AB126/'18年合同登记表'!$M126</f>
        <v>0</v>
      </c>
      <c r="Y97" s="122">
        <f>客服部最终提成计算表!$X99*0.15*0.8*0.02*'18年合同登记表'!AB126/'18年合同登记表'!$M126</f>
        <v>0</v>
      </c>
      <c r="Z97" s="122">
        <f>客服部最终提成计算表!$X99*0.15*0.8*0.85*'18年合同登记表'!AD126/'18年合同登记表'!$M126</f>
        <v>0</v>
      </c>
      <c r="AA97" s="122">
        <f>客服部最终提成计算表!$X99*0.15*0.8*0.08*'18年合同登记表'!AD126/'18年合同登记表'!$M126</f>
        <v>0</v>
      </c>
      <c r="AB97" s="122">
        <f>客服部最终提成计算表!$X99*0.15*0.8*0.05*'18年合同登记表'!AD126/'18年合同登记表'!$M126</f>
        <v>0</v>
      </c>
      <c r="AC97" s="122">
        <f>客服部最终提成计算表!$X99*0.15*0.8*0.02*'18年合同登记表'!AD126/'18年合同登记表'!$M126</f>
        <v>0</v>
      </c>
      <c r="AD97" s="122">
        <f>客服部最终提成计算表!$X99*0.15*0.8*0.85*'18年合同登记表'!AF126/'18年合同登记表'!$M126</f>
        <v>0</v>
      </c>
      <c r="AE97" s="122">
        <f>客服部最终提成计算表!$X99*0.15*0.8*0.08*'18年合同登记表'!AF126/'18年合同登记表'!$M126</f>
        <v>0</v>
      </c>
      <c r="AF97" s="122">
        <f>客服部最终提成计算表!$X99*0.15*0.8*0.05*'18年合同登记表'!AF126/'18年合同登记表'!$M126</f>
        <v>0</v>
      </c>
      <c r="AG97" s="122">
        <f>客服部最终提成计算表!$X99*0.15*0.8*0.02*'18年合同登记表'!AF126/'18年合同登记表'!$M126</f>
        <v>0</v>
      </c>
      <c r="AH97" s="122">
        <f>客服部最终提成计算表!$X99*0.15*0.8*0.85*'18年合同登记表'!AH126/'18年合同登记表'!$M126</f>
        <v>10914</v>
      </c>
      <c r="AI97" s="122">
        <f>客服部最终提成计算表!$X99*0.15*0.8*0.08*'18年合同登记表'!AH126/'18年合同登记表'!$M126</f>
        <v>1027.2</v>
      </c>
      <c r="AJ97" s="122">
        <f>客服部最终提成计算表!$X99*0.15*0.8*0.05*'18年合同登记表'!AH126/'18年合同登记表'!$M126</f>
        <v>642</v>
      </c>
      <c r="AK97" s="122">
        <f>客服部最终提成计算表!$X99*0.15*0.8*0.02*'18年合同登记表'!AH126/'18年合同登记表'!$M126</f>
        <v>256.8</v>
      </c>
      <c r="AL97" s="122">
        <f>客服部最终提成计算表!$X99*0.15*0.8*0.85*'18年合同登记表'!AJ126/'18年合同登记表'!$M126</f>
        <v>0</v>
      </c>
      <c r="AM97" s="122">
        <f>客服部最终提成计算表!$X99*0.15*0.8*0.08*'18年合同登记表'!AJ126/'18年合同登记表'!$M126</f>
        <v>0</v>
      </c>
      <c r="AN97" s="122">
        <f>客服部最终提成计算表!$X99*0.15*0.8*0.05*'18年合同登记表'!AJ126/'18年合同登记表'!$M126</f>
        <v>0</v>
      </c>
      <c r="AO97" s="122">
        <f>客服部最终提成计算表!$X99*0.15*0.8*0.02*'18年合同登记表'!AJ126/'18年合同登记表'!$M126</f>
        <v>0</v>
      </c>
      <c r="AP97" s="122">
        <f>客服部最终提成计算表!$X99*0.15*0.8*0.85*'18年合同登记表'!AL126/'18年合同登记表'!$M126</f>
        <v>0</v>
      </c>
      <c r="AQ97" s="122">
        <f>客服部最终提成计算表!$X99*0.15*0.8*0.08*'18年合同登记表'!AL126/'18年合同登记表'!$M126</f>
        <v>0</v>
      </c>
      <c r="AR97" s="122">
        <f>客服部最终提成计算表!$X99*0.15*0.8*0.05*'18年合同登记表'!AL126/'18年合同登记表'!$M126</f>
        <v>0</v>
      </c>
      <c r="AS97" s="122">
        <f>客服部最终提成计算表!$X99*0.15*0.8*0.02*'18年合同登记表'!AL126/'18年合同登记表'!$M126</f>
        <v>0</v>
      </c>
      <c r="AT97" s="122">
        <f>客服部最终提成计算表!$X99*0.15*0.8*0.85*'18年合同登记表'!AN126/'18年合同登记表'!$M126</f>
        <v>0</v>
      </c>
      <c r="AU97" s="122">
        <f>客服部最终提成计算表!$X99*0.15*0.8*0.08*'18年合同登记表'!AN126/'18年合同登记表'!$M126</f>
        <v>0</v>
      </c>
      <c r="AV97" s="122">
        <f>客服部最终提成计算表!$X99*0.15*0.8*0.05*'18年合同登记表'!AN126/'18年合同登记表'!$M126</f>
        <v>0</v>
      </c>
      <c r="AW97" s="122">
        <f>客服部最终提成计算表!$X99*0.15*0.8*0.02*'18年合同登记表'!AN126/'18年合同登记表'!$M126</f>
        <v>0</v>
      </c>
      <c r="AX97" s="122">
        <f>客服部最终提成计算表!$X99*0.15*0.8*0.85*'18年合同登记表'!AP126/'18年合同登记表'!$M126</f>
        <v>0</v>
      </c>
      <c r="AY97" s="122">
        <f>客服部最终提成计算表!$X99*0.15*0.8*0.08*'18年合同登记表'!AP126/'18年合同登记表'!$M126</f>
        <v>0</v>
      </c>
      <c r="AZ97" s="122">
        <f>客服部最终提成计算表!$X99*0.15*0.8*0.05*'18年合同登记表'!AP126/'18年合同登记表'!$M126</f>
        <v>0</v>
      </c>
      <c r="BA97" s="131">
        <f>客服部最终提成计算表!$X99*0.15*0.8*0.02*'18年合同登记表'!AP126/'18年合同登记表'!$M126</f>
        <v>0</v>
      </c>
    </row>
    <row r="98" s="104" customFormat="1" ht="14.25" spans="1:53">
      <c r="A98" s="117"/>
      <c r="B98" s="118" t="str">
        <f>'18年合同登记表'!F127</f>
        <v>蜀国演义</v>
      </c>
      <c r="C98" s="119" t="str">
        <f>'18年合同登记表'!H127</f>
        <v>NHY-20180712-L-01-01-030</v>
      </c>
      <c r="D98" s="119" t="str">
        <f>'18年合同登记表'!I127</f>
        <v>直燃机年度维保</v>
      </c>
      <c r="E98" s="120" t="str">
        <f>'18年合同登记表'!L127</f>
        <v>陈勇</v>
      </c>
      <c r="F98" s="121">
        <f>客服部最终提成计算表!$X100*0.15*0.8*0.85*'18年合同登记表'!T127/'18年合同登记表'!$M127</f>
        <v>0</v>
      </c>
      <c r="G98" s="122">
        <f>客服部最终提成计算表!$X100*0.15*0.8*0.08*'18年合同登记表'!T127/'18年合同登记表'!$M127</f>
        <v>0</v>
      </c>
      <c r="H98" s="122">
        <f>客服部最终提成计算表!$X100*0.15*0.8*0.05*'18年合同登记表'!T127/'18年合同登记表'!$M127</f>
        <v>0</v>
      </c>
      <c r="I98" s="122">
        <f>客服部最终提成计算表!$X100*0.15*0.8*0.02*'18年合同登记表'!T127/'18年合同登记表'!$M127</f>
        <v>0</v>
      </c>
      <c r="J98" s="122">
        <f>客服部最终提成计算表!$X100*0.15*0.8*0.85*'18年合同登记表'!V127/'18年合同登记表'!$M127</f>
        <v>0</v>
      </c>
      <c r="K98" s="122">
        <f>客服部最终提成计算表!$X100*0.15*0.8*0.08*'18年合同登记表'!V127/'18年合同登记表'!$M127</f>
        <v>0</v>
      </c>
      <c r="L98" s="122">
        <f>客服部最终提成计算表!$X100*0.15*0.8*0.05*'18年合同登记表'!V127/'18年合同登记表'!$M127</f>
        <v>0</v>
      </c>
      <c r="M98" s="122">
        <f>客服部最终提成计算表!$X100*0.15*0.8*0.02*'18年合同登记表'!V127/'18年合同登记表'!$M127</f>
        <v>0</v>
      </c>
      <c r="N98" s="122">
        <f>客服部最终提成计算表!$X100*0.15*0.8*0.85*'18年合同登记表'!X127/'18年合同登记表'!$M127</f>
        <v>0</v>
      </c>
      <c r="O98" s="122">
        <f>客服部最终提成计算表!$X100*0.15*0.8*0.08*'18年合同登记表'!X127/'18年合同登记表'!$M127</f>
        <v>0</v>
      </c>
      <c r="P98" s="122">
        <f>客服部最终提成计算表!$X100*0.15*0.8*0.05*'18年合同登记表'!X127/'18年合同登记表'!$M127</f>
        <v>0</v>
      </c>
      <c r="Q98" s="122">
        <f>客服部最终提成计算表!$X100*0.15*0.8*0.02*'18年合同登记表'!X127/'18年合同登记表'!$M127</f>
        <v>0</v>
      </c>
      <c r="R98" s="122">
        <f>客服部最终提成计算表!$X100*0.15*0.8*0.85*'18年合同登记表'!Z127/'18年合同登记表'!$M127</f>
        <v>0</v>
      </c>
      <c r="S98" s="122">
        <f>客服部最终提成计算表!$X100*0.15*0.8*0.08*'18年合同登记表'!Z127/'18年合同登记表'!$M127</f>
        <v>0</v>
      </c>
      <c r="T98" s="122">
        <f>客服部最终提成计算表!$X100*0.15*0.8*0.05*'18年合同登记表'!Z127/'18年合同登记表'!$M127</f>
        <v>0</v>
      </c>
      <c r="U98" s="122">
        <f>客服部最终提成计算表!$X100*0.15*0.8*0.02*'18年合同登记表'!Z127/'18年合同登记表'!$M127</f>
        <v>0</v>
      </c>
      <c r="V98" s="122">
        <f>客服部最终提成计算表!$X100*0.15*0.8*0.85*'18年合同登记表'!AB127/'18年合同登记表'!$M127</f>
        <v>0</v>
      </c>
      <c r="W98" s="122">
        <f>客服部最终提成计算表!$X100*0.15*0.8*0.08*'18年合同登记表'!AB127/'18年合同登记表'!$M127</f>
        <v>0</v>
      </c>
      <c r="X98" s="122">
        <f>客服部最终提成计算表!$X100*0.15*0.8*0.05*'18年合同登记表'!AB127/'18年合同登记表'!$M127</f>
        <v>0</v>
      </c>
      <c r="Y98" s="122">
        <f>客服部最终提成计算表!$X100*0.15*0.8*0.02*'18年合同登记表'!AB127/'18年合同登记表'!$M127</f>
        <v>0</v>
      </c>
      <c r="Z98" s="122">
        <f>客服部最终提成计算表!$X100*0.15*0.8*0.85*'18年合同登记表'!AD127/'18年合同登记表'!$M127</f>
        <v>0</v>
      </c>
      <c r="AA98" s="122">
        <f>客服部最终提成计算表!$X100*0.15*0.8*0.08*'18年合同登记表'!AD127/'18年合同登记表'!$M127</f>
        <v>0</v>
      </c>
      <c r="AB98" s="122">
        <f>客服部最终提成计算表!$X100*0.15*0.8*0.05*'18年合同登记表'!AD127/'18年合同登记表'!$M127</f>
        <v>0</v>
      </c>
      <c r="AC98" s="122">
        <f>客服部最终提成计算表!$X100*0.15*0.8*0.02*'18年合同登记表'!AD127/'18年合同登记表'!$M127</f>
        <v>0</v>
      </c>
      <c r="AD98" s="122">
        <f>客服部最终提成计算表!$X100*0.15*0.8*0.85*'18年合同登记表'!AF127/'18年合同登记表'!$M127</f>
        <v>0</v>
      </c>
      <c r="AE98" s="122">
        <f>客服部最终提成计算表!$X100*0.15*0.8*0.08*'18年合同登记表'!AF127/'18年合同登记表'!$M127</f>
        <v>0</v>
      </c>
      <c r="AF98" s="122">
        <f>客服部最终提成计算表!$X100*0.15*0.8*0.05*'18年合同登记表'!AF127/'18年合同登记表'!$M127</f>
        <v>0</v>
      </c>
      <c r="AG98" s="122">
        <f>客服部最终提成计算表!$X100*0.15*0.8*0.02*'18年合同登记表'!AF127/'18年合同登记表'!$M127</f>
        <v>0</v>
      </c>
      <c r="AH98" s="122">
        <f>客服部最终提成计算表!$X100*0.15*0.8*0.85*'18年合同登记表'!AH127/'18年合同登记表'!$M127</f>
        <v>765</v>
      </c>
      <c r="AI98" s="122">
        <f>客服部最终提成计算表!$X100*0.15*0.8*0.08*'18年合同登记表'!AH127/'18年合同登记表'!$M127</f>
        <v>72</v>
      </c>
      <c r="AJ98" s="122">
        <f>客服部最终提成计算表!$X100*0.15*0.8*0.05*'18年合同登记表'!AH127/'18年合同登记表'!$M127</f>
        <v>45</v>
      </c>
      <c r="AK98" s="122">
        <f>客服部最终提成计算表!$X100*0.15*0.8*0.02*'18年合同登记表'!AH127/'18年合同登记表'!$M127</f>
        <v>18</v>
      </c>
      <c r="AL98" s="122">
        <f>客服部最终提成计算表!$X100*0.15*0.8*0.85*'18年合同登记表'!AJ127/'18年合同登记表'!$M127</f>
        <v>0</v>
      </c>
      <c r="AM98" s="122">
        <f>客服部最终提成计算表!$X100*0.15*0.8*0.08*'18年合同登记表'!AJ127/'18年合同登记表'!$M127</f>
        <v>0</v>
      </c>
      <c r="AN98" s="122">
        <f>客服部最终提成计算表!$X100*0.15*0.8*0.05*'18年合同登记表'!AJ127/'18年合同登记表'!$M127</f>
        <v>0</v>
      </c>
      <c r="AO98" s="122">
        <f>客服部最终提成计算表!$X100*0.15*0.8*0.02*'18年合同登记表'!AJ127/'18年合同登记表'!$M127</f>
        <v>0</v>
      </c>
      <c r="AP98" s="122">
        <f>客服部最终提成计算表!$X100*0.15*0.8*0.85*'18年合同登记表'!AL127/'18年合同登记表'!$M127</f>
        <v>0</v>
      </c>
      <c r="AQ98" s="122">
        <f>客服部最终提成计算表!$X100*0.15*0.8*0.08*'18年合同登记表'!AL127/'18年合同登记表'!$M127</f>
        <v>0</v>
      </c>
      <c r="AR98" s="122">
        <f>客服部最终提成计算表!$X100*0.15*0.8*0.05*'18年合同登记表'!AL127/'18年合同登记表'!$M127</f>
        <v>0</v>
      </c>
      <c r="AS98" s="122">
        <f>客服部最终提成计算表!$X100*0.15*0.8*0.02*'18年合同登记表'!AL127/'18年合同登记表'!$M127</f>
        <v>0</v>
      </c>
      <c r="AT98" s="122">
        <f>客服部最终提成计算表!$X100*0.15*0.8*0.85*'18年合同登记表'!AN127/'18年合同登记表'!$M127</f>
        <v>459</v>
      </c>
      <c r="AU98" s="122">
        <f>客服部最终提成计算表!$X100*0.15*0.8*0.08*'18年合同登记表'!AN127/'18年合同登记表'!$M127</f>
        <v>43.2</v>
      </c>
      <c r="AV98" s="122">
        <f>客服部最终提成计算表!$X100*0.15*0.8*0.05*'18年合同登记表'!AN127/'18年合同登记表'!$M127</f>
        <v>27</v>
      </c>
      <c r="AW98" s="122">
        <f>客服部最终提成计算表!$X100*0.15*0.8*0.02*'18年合同登记表'!AN127/'18年合同登记表'!$M127</f>
        <v>10.8</v>
      </c>
      <c r="AX98" s="122">
        <f>客服部最终提成计算表!$X100*0.15*0.8*0.85*'18年合同登记表'!AP127/'18年合同登记表'!$M127</f>
        <v>0</v>
      </c>
      <c r="AY98" s="122">
        <f>客服部最终提成计算表!$X100*0.15*0.8*0.08*'18年合同登记表'!AP127/'18年合同登记表'!$M127</f>
        <v>0</v>
      </c>
      <c r="AZ98" s="122">
        <f>客服部最终提成计算表!$X100*0.15*0.8*0.05*'18年合同登记表'!AP127/'18年合同登记表'!$M127</f>
        <v>0</v>
      </c>
      <c r="BA98" s="131">
        <f>客服部最终提成计算表!$X100*0.15*0.8*0.02*'18年合同登记表'!AP127/'18年合同登记表'!$M127</f>
        <v>0</v>
      </c>
    </row>
    <row r="99" s="104" customFormat="1" ht="14.25" spans="1:53">
      <c r="A99" s="117"/>
      <c r="B99" s="118" t="e">
        <f>'18年合同登记表'!#REF!</f>
        <v>#REF!</v>
      </c>
      <c r="C99" s="119" t="e">
        <f>'18年合同登记表'!#REF!</f>
        <v>#REF!</v>
      </c>
      <c r="D99" s="119" t="e">
        <f>'18年合同登记表'!#REF!</f>
        <v>#REF!</v>
      </c>
      <c r="E99" s="120" t="e">
        <f>'18年合同登记表'!#REF!</f>
        <v>#REF!</v>
      </c>
      <c r="F99" s="121" t="e">
        <f>客服部最终提成计算表!$X101*0.15*0.8*0.85*'18年合同登记表'!#REF!/'18年合同登记表'!#REF!</f>
        <v>#REF!</v>
      </c>
      <c r="G99" s="122" t="e">
        <f>客服部最终提成计算表!$X101*0.15*0.8*0.08*'18年合同登记表'!#REF!/'18年合同登记表'!#REF!</f>
        <v>#REF!</v>
      </c>
      <c r="H99" s="122" t="e">
        <f>客服部最终提成计算表!$X101*0.15*0.8*0.05*'18年合同登记表'!#REF!/'18年合同登记表'!#REF!</f>
        <v>#REF!</v>
      </c>
      <c r="I99" s="122" t="e">
        <f>客服部最终提成计算表!$X101*0.15*0.8*0.02*'18年合同登记表'!#REF!/'18年合同登记表'!#REF!</f>
        <v>#REF!</v>
      </c>
      <c r="J99" s="122" t="e">
        <f>客服部最终提成计算表!$X101*0.15*0.8*0.85*'18年合同登记表'!#REF!/'18年合同登记表'!#REF!</f>
        <v>#REF!</v>
      </c>
      <c r="K99" s="122" t="e">
        <f>客服部最终提成计算表!$X101*0.15*0.8*0.08*'18年合同登记表'!#REF!/'18年合同登记表'!#REF!</f>
        <v>#REF!</v>
      </c>
      <c r="L99" s="122" t="e">
        <f>客服部最终提成计算表!$X101*0.15*0.8*0.05*'18年合同登记表'!#REF!/'18年合同登记表'!#REF!</f>
        <v>#REF!</v>
      </c>
      <c r="M99" s="122" t="e">
        <f>客服部最终提成计算表!$X101*0.15*0.8*0.02*'18年合同登记表'!#REF!/'18年合同登记表'!#REF!</f>
        <v>#REF!</v>
      </c>
      <c r="N99" s="122" t="e">
        <f>客服部最终提成计算表!$X101*0.15*0.8*0.85*'18年合同登记表'!#REF!/'18年合同登记表'!#REF!</f>
        <v>#REF!</v>
      </c>
      <c r="O99" s="122" t="e">
        <f>客服部最终提成计算表!$X101*0.15*0.8*0.08*'18年合同登记表'!#REF!/'18年合同登记表'!#REF!</f>
        <v>#REF!</v>
      </c>
      <c r="P99" s="122" t="e">
        <f>客服部最终提成计算表!$X101*0.15*0.8*0.05*'18年合同登记表'!#REF!/'18年合同登记表'!#REF!</f>
        <v>#REF!</v>
      </c>
      <c r="Q99" s="122" t="e">
        <f>客服部最终提成计算表!$X101*0.15*0.8*0.02*'18年合同登记表'!#REF!/'18年合同登记表'!#REF!</f>
        <v>#REF!</v>
      </c>
      <c r="R99" s="122" t="e">
        <f>客服部最终提成计算表!$X101*0.15*0.8*0.85*'18年合同登记表'!#REF!/'18年合同登记表'!#REF!</f>
        <v>#REF!</v>
      </c>
      <c r="S99" s="122" t="e">
        <f>客服部最终提成计算表!$X101*0.15*0.8*0.08*'18年合同登记表'!#REF!/'18年合同登记表'!#REF!</f>
        <v>#REF!</v>
      </c>
      <c r="T99" s="122" t="e">
        <f>客服部最终提成计算表!$X101*0.15*0.8*0.05*'18年合同登记表'!#REF!/'18年合同登记表'!#REF!</f>
        <v>#REF!</v>
      </c>
      <c r="U99" s="122" t="e">
        <f>客服部最终提成计算表!$X101*0.15*0.8*0.02*'18年合同登记表'!#REF!/'18年合同登记表'!#REF!</f>
        <v>#REF!</v>
      </c>
      <c r="V99" s="122" t="e">
        <f>客服部最终提成计算表!$X101*0.15*0.8*0.85*'18年合同登记表'!#REF!/'18年合同登记表'!#REF!</f>
        <v>#REF!</v>
      </c>
      <c r="W99" s="122" t="e">
        <f>客服部最终提成计算表!$X101*0.15*0.8*0.08*'18年合同登记表'!#REF!/'18年合同登记表'!#REF!</f>
        <v>#REF!</v>
      </c>
      <c r="X99" s="122" t="e">
        <f>客服部最终提成计算表!$X101*0.15*0.8*0.05*'18年合同登记表'!#REF!/'18年合同登记表'!#REF!</f>
        <v>#REF!</v>
      </c>
      <c r="Y99" s="122" t="e">
        <f>客服部最终提成计算表!$X101*0.15*0.8*0.02*'18年合同登记表'!#REF!/'18年合同登记表'!#REF!</f>
        <v>#REF!</v>
      </c>
      <c r="Z99" s="122" t="e">
        <f>客服部最终提成计算表!$X101*0.15*0.8*0.85*'18年合同登记表'!#REF!/'18年合同登记表'!#REF!</f>
        <v>#REF!</v>
      </c>
      <c r="AA99" s="122" t="e">
        <f>客服部最终提成计算表!$X101*0.15*0.8*0.08*'18年合同登记表'!#REF!/'18年合同登记表'!#REF!</f>
        <v>#REF!</v>
      </c>
      <c r="AB99" s="122" t="e">
        <f>客服部最终提成计算表!$X101*0.15*0.8*0.05*'18年合同登记表'!#REF!/'18年合同登记表'!#REF!</f>
        <v>#REF!</v>
      </c>
      <c r="AC99" s="122" t="e">
        <f>客服部最终提成计算表!$X101*0.15*0.8*0.02*'18年合同登记表'!#REF!/'18年合同登记表'!#REF!</f>
        <v>#REF!</v>
      </c>
      <c r="AD99" s="122" t="e">
        <f>客服部最终提成计算表!$X101*0.15*0.8*0.85*'18年合同登记表'!#REF!/'18年合同登记表'!#REF!</f>
        <v>#REF!</v>
      </c>
      <c r="AE99" s="122" t="e">
        <f>客服部最终提成计算表!$X101*0.15*0.8*0.08*'18年合同登记表'!#REF!/'18年合同登记表'!#REF!</f>
        <v>#REF!</v>
      </c>
      <c r="AF99" s="122" t="e">
        <f>客服部最终提成计算表!$X101*0.15*0.8*0.05*'18年合同登记表'!#REF!/'18年合同登记表'!#REF!</f>
        <v>#REF!</v>
      </c>
      <c r="AG99" s="122" t="e">
        <f>客服部最终提成计算表!$X101*0.15*0.8*0.02*'18年合同登记表'!#REF!/'18年合同登记表'!#REF!</f>
        <v>#REF!</v>
      </c>
      <c r="AH99" s="122" t="e">
        <f>客服部最终提成计算表!$X101*0.15*0.8*0.85*'18年合同登记表'!#REF!/'18年合同登记表'!#REF!</f>
        <v>#REF!</v>
      </c>
      <c r="AI99" s="122" t="e">
        <f>客服部最终提成计算表!$X101*0.15*0.8*0.08*'18年合同登记表'!#REF!/'18年合同登记表'!#REF!</f>
        <v>#REF!</v>
      </c>
      <c r="AJ99" s="122" t="e">
        <f>客服部最终提成计算表!$X101*0.15*0.8*0.05*'18年合同登记表'!#REF!/'18年合同登记表'!#REF!</f>
        <v>#REF!</v>
      </c>
      <c r="AK99" s="122" t="e">
        <f>客服部最终提成计算表!$X101*0.15*0.8*0.02*'18年合同登记表'!#REF!/'18年合同登记表'!#REF!</f>
        <v>#REF!</v>
      </c>
      <c r="AL99" s="122" t="e">
        <f>客服部最终提成计算表!$X101*0.15*0.8*0.85*'18年合同登记表'!#REF!/'18年合同登记表'!#REF!</f>
        <v>#REF!</v>
      </c>
      <c r="AM99" s="122" t="e">
        <f>客服部最终提成计算表!$X101*0.15*0.8*0.08*'18年合同登记表'!#REF!/'18年合同登记表'!#REF!</f>
        <v>#REF!</v>
      </c>
      <c r="AN99" s="122" t="e">
        <f>客服部最终提成计算表!$X101*0.15*0.8*0.05*'18年合同登记表'!#REF!/'18年合同登记表'!#REF!</f>
        <v>#REF!</v>
      </c>
      <c r="AO99" s="122" t="e">
        <f>客服部最终提成计算表!$X101*0.15*0.8*0.02*'18年合同登记表'!#REF!/'18年合同登记表'!#REF!</f>
        <v>#REF!</v>
      </c>
      <c r="AP99" s="122" t="e">
        <f>客服部最终提成计算表!$X101*0.15*0.8*0.85*'18年合同登记表'!#REF!/'18年合同登记表'!#REF!</f>
        <v>#REF!</v>
      </c>
      <c r="AQ99" s="122" t="e">
        <f>客服部最终提成计算表!$X101*0.15*0.8*0.08*'18年合同登记表'!#REF!/'18年合同登记表'!#REF!</f>
        <v>#REF!</v>
      </c>
      <c r="AR99" s="122" t="e">
        <f>客服部最终提成计算表!$X101*0.15*0.8*0.05*'18年合同登记表'!#REF!/'18年合同登记表'!#REF!</f>
        <v>#REF!</v>
      </c>
      <c r="AS99" s="122" t="e">
        <f>客服部最终提成计算表!$X101*0.15*0.8*0.02*'18年合同登记表'!#REF!/'18年合同登记表'!#REF!</f>
        <v>#REF!</v>
      </c>
      <c r="AT99" s="122" t="e">
        <f>客服部最终提成计算表!$X101*0.15*0.8*0.85*'18年合同登记表'!#REF!/'18年合同登记表'!#REF!</f>
        <v>#REF!</v>
      </c>
      <c r="AU99" s="122" t="e">
        <f>客服部最终提成计算表!$X101*0.15*0.8*0.08*'18年合同登记表'!#REF!/'18年合同登记表'!#REF!</f>
        <v>#REF!</v>
      </c>
      <c r="AV99" s="122" t="e">
        <f>客服部最终提成计算表!$X101*0.15*0.8*0.05*'18年合同登记表'!#REF!/'18年合同登记表'!#REF!</f>
        <v>#REF!</v>
      </c>
      <c r="AW99" s="122" t="e">
        <f>客服部最终提成计算表!$X101*0.15*0.8*0.02*'18年合同登记表'!#REF!/'18年合同登记表'!#REF!</f>
        <v>#REF!</v>
      </c>
      <c r="AX99" s="122" t="e">
        <f>客服部最终提成计算表!$X101*0.15*0.8*0.85*'18年合同登记表'!#REF!/'18年合同登记表'!#REF!</f>
        <v>#REF!</v>
      </c>
      <c r="AY99" s="122" t="e">
        <f>客服部最终提成计算表!$X101*0.15*0.8*0.08*'18年合同登记表'!#REF!/'18年合同登记表'!#REF!</f>
        <v>#REF!</v>
      </c>
      <c r="AZ99" s="122" t="e">
        <f>客服部最终提成计算表!$X101*0.15*0.8*0.05*'18年合同登记表'!#REF!/'18年合同登记表'!#REF!</f>
        <v>#REF!</v>
      </c>
      <c r="BA99" s="131" t="e">
        <f>客服部最终提成计算表!$X101*0.15*0.8*0.02*'18年合同登记表'!#REF!/'18年合同登记表'!#REF!</f>
        <v>#REF!</v>
      </c>
    </row>
    <row r="100" s="104" customFormat="1" ht="14.25" spans="1:53">
      <c r="A100" s="123" t="s">
        <v>986</v>
      </c>
      <c r="B100" s="124">
        <f>'18年合同登记表'!F133</f>
        <v>0</v>
      </c>
      <c r="C100" s="125">
        <f>'18年合同登记表'!H133</f>
        <v>0</v>
      </c>
      <c r="D100" s="125">
        <f>'18年合同登记表'!I133</f>
        <v>0</v>
      </c>
      <c r="E100" s="126">
        <f>'18年合同登记表'!L133</f>
        <v>0</v>
      </c>
      <c r="F100" s="127" t="e">
        <f>SUM(F92:F99)</f>
        <v>#REF!</v>
      </c>
      <c r="G100" s="128" t="e">
        <f>客服部最终提成计算表!$X102*0.15*0.8*0.08*'18年合同登记表'!T133/'18年合同登记表'!$M133</f>
        <v>#REF!</v>
      </c>
      <c r="H100" s="128" t="e">
        <f>客服部最终提成计算表!$X102*0.15*0.8*0.05*'18年合同登记表'!T133/'18年合同登记表'!$M133</f>
        <v>#REF!</v>
      </c>
      <c r="I100" s="128" t="e">
        <f>客服部最终提成计算表!$X102*0.15*0.8*0.02*'18年合同登记表'!T133/'18年合同登记表'!$M133</f>
        <v>#REF!</v>
      </c>
      <c r="J100" s="128" t="e">
        <f>客服部最终提成计算表!$X102*0.15*0.8*0.85*'18年合同登记表'!V133/'18年合同登记表'!$M133</f>
        <v>#REF!</v>
      </c>
      <c r="K100" s="128" t="e">
        <f>客服部最终提成计算表!$X102*0.15*0.8*0.08*'18年合同登记表'!V133/'18年合同登记表'!$M133</f>
        <v>#REF!</v>
      </c>
      <c r="L100" s="128" t="e">
        <f>客服部最终提成计算表!$X102*0.15*0.8*0.05*'18年合同登记表'!V133/'18年合同登记表'!$M133</f>
        <v>#REF!</v>
      </c>
      <c r="M100" s="128" t="e">
        <f>客服部最终提成计算表!$X102*0.15*0.8*0.02*'18年合同登记表'!V133/'18年合同登记表'!$M133</f>
        <v>#REF!</v>
      </c>
      <c r="N100" s="128" t="e">
        <f>客服部最终提成计算表!$X102*0.15*0.8*0.85*'18年合同登记表'!X133/'18年合同登记表'!$M133</f>
        <v>#REF!</v>
      </c>
      <c r="O100" s="128" t="e">
        <f>客服部最终提成计算表!$X102*0.15*0.8*0.08*'18年合同登记表'!X133/'18年合同登记表'!$M133</f>
        <v>#REF!</v>
      </c>
      <c r="P100" s="128" t="e">
        <f>客服部最终提成计算表!$X102*0.15*0.8*0.05*'18年合同登记表'!X133/'18年合同登记表'!$M133</f>
        <v>#REF!</v>
      </c>
      <c r="Q100" s="128" t="e">
        <f>客服部最终提成计算表!$X102*0.15*0.8*0.02*'18年合同登记表'!X133/'18年合同登记表'!$M133</f>
        <v>#REF!</v>
      </c>
      <c r="R100" s="128" t="e">
        <f>客服部最终提成计算表!$X102*0.15*0.8*0.85*'18年合同登记表'!Z133/'18年合同登记表'!$M133</f>
        <v>#REF!</v>
      </c>
      <c r="S100" s="128" t="e">
        <f>客服部最终提成计算表!$X102*0.15*0.8*0.08*'18年合同登记表'!Z133/'18年合同登记表'!$M133</f>
        <v>#REF!</v>
      </c>
      <c r="T100" s="128" t="e">
        <f>客服部最终提成计算表!$X102*0.15*0.8*0.05*'18年合同登记表'!Z133/'18年合同登记表'!$M133</f>
        <v>#REF!</v>
      </c>
      <c r="U100" s="128" t="e">
        <f>客服部最终提成计算表!$X102*0.15*0.8*0.02*'18年合同登记表'!Z133/'18年合同登记表'!$M133</f>
        <v>#REF!</v>
      </c>
      <c r="V100" s="128" t="e">
        <f>客服部最终提成计算表!$X102*0.15*0.8*0.85*'18年合同登记表'!AB133/'18年合同登记表'!$M133</f>
        <v>#REF!</v>
      </c>
      <c r="W100" s="128" t="e">
        <f>客服部最终提成计算表!$X102*0.15*0.8*0.08*'18年合同登记表'!AB133/'18年合同登记表'!$M133</f>
        <v>#REF!</v>
      </c>
      <c r="X100" s="128" t="e">
        <f>客服部最终提成计算表!$X102*0.15*0.8*0.05*'18年合同登记表'!AB133/'18年合同登记表'!$M133</f>
        <v>#REF!</v>
      </c>
      <c r="Y100" s="128" t="e">
        <f>客服部最终提成计算表!$X102*0.15*0.8*0.02*'18年合同登记表'!AB133/'18年合同登记表'!$M133</f>
        <v>#REF!</v>
      </c>
      <c r="Z100" s="128" t="e">
        <f>客服部最终提成计算表!$X102*0.15*0.8*0.85*'18年合同登记表'!AD133/'18年合同登记表'!$M133</f>
        <v>#REF!</v>
      </c>
      <c r="AA100" s="128" t="e">
        <f>客服部最终提成计算表!$X102*0.15*0.8*0.08*'18年合同登记表'!AD133/'18年合同登记表'!$M133</f>
        <v>#REF!</v>
      </c>
      <c r="AB100" s="128" t="e">
        <f>客服部最终提成计算表!$X102*0.15*0.8*0.05*'18年合同登记表'!AD133/'18年合同登记表'!$M133</f>
        <v>#REF!</v>
      </c>
      <c r="AC100" s="128" t="e">
        <f>客服部最终提成计算表!$X102*0.15*0.8*0.02*'18年合同登记表'!AD133/'18年合同登记表'!$M133</f>
        <v>#REF!</v>
      </c>
      <c r="AD100" s="128" t="e">
        <f>客服部最终提成计算表!$X102*0.15*0.8*0.85*'18年合同登记表'!AF133/'18年合同登记表'!$M133</f>
        <v>#REF!</v>
      </c>
      <c r="AE100" s="128" t="e">
        <f>客服部最终提成计算表!$X102*0.15*0.8*0.08*'18年合同登记表'!AF133/'18年合同登记表'!$M133</f>
        <v>#REF!</v>
      </c>
      <c r="AF100" s="128" t="e">
        <f>客服部最终提成计算表!$X102*0.15*0.8*0.05*'18年合同登记表'!AF133/'18年合同登记表'!$M133</f>
        <v>#REF!</v>
      </c>
      <c r="AG100" s="128" t="e">
        <f>客服部最终提成计算表!$X102*0.15*0.8*0.02*'18年合同登记表'!AF133/'18年合同登记表'!$M133</f>
        <v>#REF!</v>
      </c>
      <c r="AH100" s="128" t="e">
        <f>客服部最终提成计算表!$X102*0.15*0.8*0.85*'18年合同登记表'!AH133/'18年合同登记表'!$M133</f>
        <v>#REF!</v>
      </c>
      <c r="AI100" s="128" t="e">
        <f>客服部最终提成计算表!$X102*0.15*0.8*0.08*'18年合同登记表'!AH133/'18年合同登记表'!$M133</f>
        <v>#REF!</v>
      </c>
      <c r="AJ100" s="128" t="e">
        <f>客服部最终提成计算表!$X102*0.15*0.8*0.05*'18年合同登记表'!AH133/'18年合同登记表'!$M133</f>
        <v>#REF!</v>
      </c>
      <c r="AK100" s="128" t="e">
        <f>客服部最终提成计算表!$X102*0.15*0.8*0.02*'18年合同登记表'!AH133/'18年合同登记表'!$M133</f>
        <v>#REF!</v>
      </c>
      <c r="AL100" s="128" t="e">
        <f>客服部最终提成计算表!$X102*0.15*0.8*0.85*'18年合同登记表'!AJ133/'18年合同登记表'!$M133</f>
        <v>#REF!</v>
      </c>
      <c r="AM100" s="128" t="e">
        <f>客服部最终提成计算表!$X102*0.15*0.8*0.08*'18年合同登记表'!AJ133/'18年合同登记表'!$M133</f>
        <v>#REF!</v>
      </c>
      <c r="AN100" s="128" t="e">
        <f>客服部最终提成计算表!$X102*0.15*0.8*0.05*'18年合同登记表'!AJ133/'18年合同登记表'!$M133</f>
        <v>#REF!</v>
      </c>
      <c r="AO100" s="128" t="e">
        <f>客服部最终提成计算表!$X102*0.15*0.8*0.02*'18年合同登记表'!AJ133/'18年合同登记表'!$M133</f>
        <v>#REF!</v>
      </c>
      <c r="AP100" s="128" t="e">
        <f>客服部最终提成计算表!$X102*0.15*0.8*0.85*'18年合同登记表'!AL133/'18年合同登记表'!$M133</f>
        <v>#REF!</v>
      </c>
      <c r="AQ100" s="128" t="e">
        <f>客服部最终提成计算表!$X102*0.15*0.8*0.08*'18年合同登记表'!AL133/'18年合同登记表'!$M133</f>
        <v>#REF!</v>
      </c>
      <c r="AR100" s="128" t="e">
        <f>客服部最终提成计算表!$X102*0.15*0.8*0.05*'18年合同登记表'!AL133/'18年合同登记表'!$M133</f>
        <v>#REF!</v>
      </c>
      <c r="AS100" s="128" t="e">
        <f>客服部最终提成计算表!$X102*0.15*0.8*0.02*'18年合同登记表'!AL133/'18年合同登记表'!$M133</f>
        <v>#REF!</v>
      </c>
      <c r="AT100" s="128" t="e">
        <f>客服部最终提成计算表!$X102*0.15*0.8*0.85*'18年合同登记表'!AN133/'18年合同登记表'!$M133</f>
        <v>#REF!</v>
      </c>
      <c r="AU100" s="128" t="e">
        <f>客服部最终提成计算表!$X102*0.15*0.8*0.08*'18年合同登记表'!AN133/'18年合同登记表'!$M133</f>
        <v>#REF!</v>
      </c>
      <c r="AV100" s="128" t="e">
        <f>客服部最终提成计算表!$X102*0.15*0.8*0.05*'18年合同登记表'!AN133/'18年合同登记表'!$M133</f>
        <v>#REF!</v>
      </c>
      <c r="AW100" s="128" t="e">
        <f>客服部最终提成计算表!$X102*0.15*0.8*0.02*'18年合同登记表'!AN133/'18年合同登记表'!$M133</f>
        <v>#REF!</v>
      </c>
      <c r="AX100" s="128" t="e">
        <f>客服部最终提成计算表!$X102*0.15*0.8*0.85*'18年合同登记表'!AP133/'18年合同登记表'!$M133</f>
        <v>#REF!</v>
      </c>
      <c r="AY100" s="128" t="e">
        <f>客服部最终提成计算表!$X102*0.15*0.8*0.08*'18年合同登记表'!AP133/'18年合同登记表'!$M133</f>
        <v>#REF!</v>
      </c>
      <c r="AZ100" s="128" t="e">
        <f>客服部最终提成计算表!$X102*0.15*0.8*0.05*'18年合同登记表'!AP133/'18年合同登记表'!$M133</f>
        <v>#REF!</v>
      </c>
      <c r="BA100" s="132" t="e">
        <f>客服部最终提成计算表!$X102*0.15*0.8*0.02*'18年合同登记表'!AP133/'18年合同登记表'!$M133</f>
        <v>#REF!</v>
      </c>
    </row>
    <row r="101" s="104" customFormat="1" ht="14.25" spans="1:53">
      <c r="A101" s="123" t="s">
        <v>987</v>
      </c>
      <c r="B101" s="124">
        <f>'18年合同登记表'!F134</f>
        <v>0</v>
      </c>
      <c r="C101" s="125">
        <f>'18年合同登记表'!H134</f>
        <v>0</v>
      </c>
      <c r="D101" s="125">
        <f>'18年合同登记表'!I134</f>
        <v>0</v>
      </c>
      <c r="E101" s="126">
        <f>'18年合同登记表'!L134</f>
        <v>0</v>
      </c>
      <c r="F101" s="127" t="e">
        <f>F91+F100</f>
        <v>#REF!</v>
      </c>
      <c r="G101" s="127" t="e">
        <f t="shared" ref="G101" si="237">G91+G100</f>
        <v>#REF!</v>
      </c>
      <c r="H101" s="127" t="e">
        <f t="shared" ref="H101" si="238">H91+H100</f>
        <v>#REF!</v>
      </c>
      <c r="I101" s="127" t="e">
        <f t="shared" ref="I101" si="239">I91+I100</f>
        <v>#REF!</v>
      </c>
      <c r="J101" s="127" t="e">
        <f t="shared" ref="J101" si="240">J91+J100</f>
        <v>#REF!</v>
      </c>
      <c r="K101" s="127" t="e">
        <f t="shared" ref="K101" si="241">K91+K100</f>
        <v>#REF!</v>
      </c>
      <c r="L101" s="127" t="e">
        <f t="shared" ref="L101" si="242">L91+L100</f>
        <v>#REF!</v>
      </c>
      <c r="M101" s="127" t="e">
        <f t="shared" ref="M101" si="243">M91+M100</f>
        <v>#REF!</v>
      </c>
      <c r="N101" s="127" t="e">
        <f t="shared" ref="N101" si="244">N91+N100</f>
        <v>#REF!</v>
      </c>
      <c r="O101" s="127" t="e">
        <f t="shared" ref="O101" si="245">O91+O100</f>
        <v>#REF!</v>
      </c>
      <c r="P101" s="127" t="e">
        <f t="shared" ref="P101" si="246">P91+P100</f>
        <v>#REF!</v>
      </c>
      <c r="Q101" s="127" t="e">
        <f t="shared" ref="Q101" si="247">Q91+Q100</f>
        <v>#REF!</v>
      </c>
      <c r="R101" s="127" t="e">
        <f t="shared" ref="R101" si="248">R91+R100</f>
        <v>#REF!</v>
      </c>
      <c r="S101" s="127" t="e">
        <f t="shared" ref="S101" si="249">S91+S100</f>
        <v>#REF!</v>
      </c>
      <c r="T101" s="127" t="e">
        <f t="shared" ref="T101" si="250">T91+T100</f>
        <v>#REF!</v>
      </c>
      <c r="U101" s="127" t="e">
        <f t="shared" ref="U101" si="251">U91+U100</f>
        <v>#REF!</v>
      </c>
      <c r="V101" s="127" t="e">
        <f t="shared" ref="V101" si="252">V91+V100</f>
        <v>#REF!</v>
      </c>
      <c r="W101" s="127" t="e">
        <f t="shared" ref="W101" si="253">W91+W100</f>
        <v>#REF!</v>
      </c>
      <c r="X101" s="127" t="e">
        <f t="shared" ref="X101" si="254">X91+X100</f>
        <v>#REF!</v>
      </c>
      <c r="Y101" s="127" t="e">
        <f t="shared" ref="Y101" si="255">Y91+Y100</f>
        <v>#REF!</v>
      </c>
      <c r="Z101" s="127" t="e">
        <f t="shared" ref="Z101" si="256">Z91+Z100</f>
        <v>#REF!</v>
      </c>
      <c r="AA101" s="127" t="e">
        <f t="shared" ref="AA101" si="257">AA91+AA100</f>
        <v>#REF!</v>
      </c>
      <c r="AB101" s="127" t="e">
        <f t="shared" ref="AB101" si="258">AB91+AB100</f>
        <v>#REF!</v>
      </c>
      <c r="AC101" s="127" t="e">
        <f t="shared" ref="AC101" si="259">AC91+AC100</f>
        <v>#REF!</v>
      </c>
      <c r="AD101" s="127" t="e">
        <f t="shared" ref="AD101" si="260">AD91+AD100</f>
        <v>#REF!</v>
      </c>
      <c r="AE101" s="127" t="e">
        <f t="shared" ref="AE101" si="261">AE91+AE100</f>
        <v>#REF!</v>
      </c>
      <c r="AF101" s="127" t="e">
        <f t="shared" ref="AF101" si="262">AF91+AF100</f>
        <v>#REF!</v>
      </c>
      <c r="AG101" s="127" t="e">
        <f t="shared" ref="AG101" si="263">AG91+AG100</f>
        <v>#REF!</v>
      </c>
      <c r="AH101" s="127" t="e">
        <f t="shared" ref="AH101" si="264">AH91+AH100</f>
        <v>#REF!</v>
      </c>
      <c r="AI101" s="127" t="e">
        <f t="shared" ref="AI101" si="265">AI91+AI100</f>
        <v>#REF!</v>
      </c>
      <c r="AJ101" s="127" t="e">
        <f t="shared" ref="AJ101" si="266">AJ91+AJ100</f>
        <v>#REF!</v>
      </c>
      <c r="AK101" s="127" t="e">
        <f t="shared" ref="AK101" si="267">AK91+AK100</f>
        <v>#REF!</v>
      </c>
      <c r="AL101" s="127" t="e">
        <f t="shared" ref="AL101" si="268">AL91+AL100</f>
        <v>#REF!</v>
      </c>
      <c r="AM101" s="127" t="e">
        <f t="shared" ref="AM101" si="269">AM91+AM100</f>
        <v>#REF!</v>
      </c>
      <c r="AN101" s="127" t="e">
        <f t="shared" ref="AN101" si="270">AN91+AN100</f>
        <v>#REF!</v>
      </c>
      <c r="AO101" s="127" t="e">
        <f t="shared" ref="AO101" si="271">AO91+AO100</f>
        <v>#REF!</v>
      </c>
      <c r="AP101" s="127" t="e">
        <f t="shared" ref="AP101" si="272">AP91+AP100</f>
        <v>#REF!</v>
      </c>
      <c r="AQ101" s="127" t="e">
        <f t="shared" ref="AQ101" si="273">AQ91+AQ100</f>
        <v>#REF!</v>
      </c>
      <c r="AR101" s="127" t="e">
        <f t="shared" ref="AR101" si="274">AR91+AR100</f>
        <v>#REF!</v>
      </c>
      <c r="AS101" s="127" t="e">
        <f t="shared" ref="AS101" si="275">AS91+AS100</f>
        <v>#REF!</v>
      </c>
      <c r="AT101" s="127" t="e">
        <f t="shared" ref="AT101" si="276">AT91+AT100</f>
        <v>#REF!</v>
      </c>
      <c r="AU101" s="127" t="e">
        <f t="shared" ref="AU101" si="277">AU91+AU100</f>
        <v>#REF!</v>
      </c>
      <c r="AV101" s="127" t="e">
        <f t="shared" ref="AV101" si="278">AV91+AV100</f>
        <v>#REF!</v>
      </c>
      <c r="AW101" s="127" t="e">
        <f t="shared" ref="AW101" si="279">AW91+AW100</f>
        <v>#REF!</v>
      </c>
      <c r="AX101" s="127" t="e">
        <f t="shared" ref="AX101" si="280">AX91+AX100</f>
        <v>#REF!</v>
      </c>
      <c r="AY101" s="127" t="e">
        <f t="shared" ref="AY101" si="281">AY91+AY100</f>
        <v>#REF!</v>
      </c>
      <c r="AZ101" s="127" t="e">
        <f t="shared" ref="AZ101" si="282">AZ91+AZ100</f>
        <v>#REF!</v>
      </c>
      <c r="BA101" s="127" t="e">
        <f t="shared" ref="BA101" si="283">BA91+BA100</f>
        <v>#REF!</v>
      </c>
    </row>
    <row r="102" s="104" customFormat="1" ht="14.25" spans="1:53">
      <c r="A102" s="117"/>
      <c r="B102" s="118" t="str">
        <f>'18年合同登记表'!F135</f>
        <v>美同达</v>
      </c>
      <c r="C102" s="119" t="str">
        <f>'18年合同登记表'!H135</f>
        <v>RHY-20180907-W-01-01-001</v>
      </c>
      <c r="D102" s="119" t="str">
        <f>'18年合同登记表'!I135</f>
        <v>溴化锂购销合同</v>
      </c>
      <c r="E102" s="120" t="str">
        <f>'18年合同登记表'!L135</f>
        <v>徐利斌</v>
      </c>
      <c r="F102" s="121">
        <f>客服部最终提成计算表!$X104*0.15*0.8*0.85*'18年合同登记表'!T135/'18年合同登记表'!$M135</f>
        <v>0</v>
      </c>
      <c r="G102" s="122">
        <f>客服部最终提成计算表!$X104*0.15*0.8*0.08*'18年合同登记表'!T135/'18年合同登记表'!$M135</f>
        <v>0</v>
      </c>
      <c r="H102" s="122">
        <f>客服部最终提成计算表!$X104*0.15*0.8*0.05*'18年合同登记表'!T135/'18年合同登记表'!$M135</f>
        <v>0</v>
      </c>
      <c r="I102" s="122">
        <f>客服部最终提成计算表!$X104*0.15*0.8*0.02*'18年合同登记表'!T135/'18年合同登记表'!$M135</f>
        <v>0</v>
      </c>
      <c r="J102" s="122">
        <f>客服部最终提成计算表!$X104*0.15*0.8*0.85*'18年合同登记表'!V135/'18年合同登记表'!$M135</f>
        <v>0</v>
      </c>
      <c r="K102" s="122">
        <f>客服部最终提成计算表!$X104*0.15*0.8*0.08*'18年合同登记表'!V135/'18年合同登记表'!$M135</f>
        <v>0</v>
      </c>
      <c r="L102" s="122">
        <f>客服部最终提成计算表!$X104*0.15*0.8*0.05*'18年合同登记表'!V135/'18年合同登记表'!$M135</f>
        <v>0</v>
      </c>
      <c r="M102" s="122">
        <f>客服部最终提成计算表!$X104*0.15*0.8*0.02*'18年合同登记表'!V135/'18年合同登记表'!$M135</f>
        <v>0</v>
      </c>
      <c r="N102" s="122">
        <f>客服部最终提成计算表!$X104*0.15*0.8*0.85*'18年合同登记表'!X135/'18年合同登记表'!$M135</f>
        <v>0</v>
      </c>
      <c r="O102" s="122">
        <f>客服部最终提成计算表!$X104*0.15*0.8*0.08*'18年合同登记表'!X135/'18年合同登记表'!$M135</f>
        <v>0</v>
      </c>
      <c r="P102" s="122">
        <f>客服部最终提成计算表!$X104*0.15*0.8*0.05*'18年合同登记表'!X135/'18年合同登记表'!$M135</f>
        <v>0</v>
      </c>
      <c r="Q102" s="122">
        <f>客服部最终提成计算表!$X104*0.15*0.8*0.02*'18年合同登记表'!X135/'18年合同登记表'!$M135</f>
        <v>0</v>
      </c>
      <c r="R102" s="122">
        <f>客服部最终提成计算表!$X104*0.15*0.8*0.85*'18年合同登记表'!Z135/'18年合同登记表'!$M135</f>
        <v>0</v>
      </c>
      <c r="S102" s="122">
        <f>客服部最终提成计算表!$X104*0.15*0.8*0.08*'18年合同登记表'!Z135/'18年合同登记表'!$M135</f>
        <v>0</v>
      </c>
      <c r="T102" s="122">
        <f>客服部最终提成计算表!$X104*0.15*0.8*0.05*'18年合同登记表'!Z135/'18年合同登记表'!$M135</f>
        <v>0</v>
      </c>
      <c r="U102" s="122">
        <f>客服部最终提成计算表!$X104*0.15*0.8*0.02*'18年合同登记表'!Z135/'18年合同登记表'!$M135</f>
        <v>0</v>
      </c>
      <c r="V102" s="122">
        <f>客服部最终提成计算表!$X104*0.15*0.8*0.85*'18年合同登记表'!AB135/'18年合同登记表'!$M135</f>
        <v>0</v>
      </c>
      <c r="W102" s="122">
        <f>客服部最终提成计算表!$X104*0.15*0.8*0.08*'18年合同登记表'!AB135/'18年合同登记表'!$M135</f>
        <v>0</v>
      </c>
      <c r="X102" s="122">
        <f>客服部最终提成计算表!$X104*0.15*0.8*0.05*'18年合同登记表'!AB135/'18年合同登记表'!$M135</f>
        <v>0</v>
      </c>
      <c r="Y102" s="122">
        <f>客服部最终提成计算表!$X104*0.15*0.8*0.02*'18年合同登记表'!AB135/'18年合同登记表'!$M135</f>
        <v>0</v>
      </c>
      <c r="Z102" s="122">
        <f>客服部最终提成计算表!$X104*0.15*0.8*0.85*'18年合同登记表'!AD135/'18年合同登记表'!$M135</f>
        <v>0</v>
      </c>
      <c r="AA102" s="122">
        <f>客服部最终提成计算表!$X104*0.15*0.8*0.08*'18年合同登记表'!AD135/'18年合同登记表'!$M135</f>
        <v>0</v>
      </c>
      <c r="AB102" s="122">
        <f>客服部最终提成计算表!$X104*0.15*0.8*0.05*'18年合同登记表'!AD135/'18年合同登记表'!$M135</f>
        <v>0</v>
      </c>
      <c r="AC102" s="122">
        <f>客服部最终提成计算表!$X104*0.15*0.8*0.02*'18年合同登记表'!AD135/'18年合同登记表'!$M135</f>
        <v>0</v>
      </c>
      <c r="AD102" s="122">
        <f>客服部最终提成计算表!$X104*0.15*0.8*0.85*'18年合同登记表'!AF135/'18年合同登记表'!$M135</f>
        <v>0</v>
      </c>
      <c r="AE102" s="122">
        <f>客服部最终提成计算表!$X104*0.15*0.8*0.08*'18年合同登记表'!AF135/'18年合同登记表'!$M135</f>
        <v>0</v>
      </c>
      <c r="AF102" s="122">
        <f>客服部最终提成计算表!$X104*0.15*0.8*0.05*'18年合同登记表'!AF135/'18年合同登记表'!$M135</f>
        <v>0</v>
      </c>
      <c r="AG102" s="122">
        <f>客服部最终提成计算表!$X104*0.15*0.8*0.02*'18年合同登记表'!AF135/'18年合同登记表'!$M135</f>
        <v>0</v>
      </c>
      <c r="AH102" s="122">
        <f>客服部最终提成计算表!$X104*0.15*0.8*0.85*'18年合同登记表'!AH135/'18年合同登记表'!$M135</f>
        <v>0</v>
      </c>
      <c r="AI102" s="122">
        <f>客服部最终提成计算表!$X104*0.15*0.8*0.08*'18年合同登记表'!AH135/'18年合同登记表'!$M135</f>
        <v>0</v>
      </c>
      <c r="AJ102" s="122">
        <f>客服部最终提成计算表!$X104*0.15*0.8*0.05*'18年合同登记表'!AH135/'18年合同登记表'!$M135</f>
        <v>0</v>
      </c>
      <c r="AK102" s="122">
        <f>客服部最终提成计算表!$X104*0.15*0.8*0.02*'18年合同登记表'!AH135/'18年合同登记表'!$M135</f>
        <v>0</v>
      </c>
      <c r="AL102" s="122">
        <f>客服部最终提成计算表!$X104*0.15*0.8*0.85*'18年合同登记表'!AJ135/'18年合同登记表'!$M135</f>
        <v>5253</v>
      </c>
      <c r="AM102" s="122">
        <f>客服部最终提成计算表!$X104*0.15*0.8*0.08*'18年合同登记表'!AJ135/'18年合同登记表'!$M135</f>
        <v>494.4</v>
      </c>
      <c r="AN102" s="122">
        <f>客服部最终提成计算表!$X104*0.15*0.8*0.05*'18年合同登记表'!AJ135/'18年合同登记表'!$M135</f>
        <v>309</v>
      </c>
      <c r="AO102" s="122">
        <f>客服部最终提成计算表!$X104*0.15*0.8*0.02*'18年合同登记表'!AJ135/'18年合同登记表'!$M135</f>
        <v>123.6</v>
      </c>
      <c r="AP102" s="122">
        <f>客服部最终提成计算表!$X104*0.15*0.8*0.85*'18年合同登记表'!AL135/'18年合同登记表'!$M135</f>
        <v>0</v>
      </c>
      <c r="AQ102" s="122">
        <f>客服部最终提成计算表!$X104*0.15*0.8*0.08*'18年合同登记表'!AL135/'18年合同登记表'!$M135</f>
        <v>0</v>
      </c>
      <c r="AR102" s="122">
        <f>客服部最终提成计算表!$X104*0.15*0.8*0.05*'18年合同登记表'!AL135/'18年合同登记表'!$M135</f>
        <v>0</v>
      </c>
      <c r="AS102" s="122">
        <f>客服部最终提成计算表!$X104*0.15*0.8*0.02*'18年合同登记表'!AL135/'18年合同登记表'!$M135</f>
        <v>0</v>
      </c>
      <c r="AT102" s="122">
        <f>客服部最终提成计算表!$X104*0.15*0.8*0.85*'18年合同登记表'!AN135/'18年合同登记表'!$M135</f>
        <v>0</v>
      </c>
      <c r="AU102" s="122">
        <f>客服部最终提成计算表!$X104*0.15*0.8*0.08*'18年合同登记表'!AN135/'18年合同登记表'!$M135</f>
        <v>0</v>
      </c>
      <c r="AV102" s="122">
        <f>客服部最终提成计算表!$X104*0.15*0.8*0.05*'18年合同登记表'!AN135/'18年合同登记表'!$M135</f>
        <v>0</v>
      </c>
      <c r="AW102" s="122">
        <f>客服部最终提成计算表!$X104*0.15*0.8*0.02*'18年合同登记表'!AN135/'18年合同登记表'!$M135</f>
        <v>0</v>
      </c>
      <c r="AX102" s="122">
        <f>客服部最终提成计算表!$X104*0.15*0.8*0.85*'18年合同登记表'!AP135/'18年合同登记表'!$M135</f>
        <v>0</v>
      </c>
      <c r="AY102" s="122">
        <f>客服部最终提成计算表!$X104*0.15*0.8*0.08*'18年合同登记表'!AP135/'18年合同登记表'!$M135</f>
        <v>0</v>
      </c>
      <c r="AZ102" s="122">
        <f>客服部最终提成计算表!$X104*0.15*0.8*0.05*'18年合同登记表'!AP135/'18年合同登记表'!$M135</f>
        <v>0</v>
      </c>
      <c r="BA102" s="131">
        <f>客服部最终提成计算表!$X104*0.15*0.8*0.02*'18年合同登记表'!AP135/'18年合同登记表'!$M135</f>
        <v>0</v>
      </c>
    </row>
    <row r="103" s="104" customFormat="1" ht="14.25" spans="1:53">
      <c r="A103" s="117"/>
      <c r="B103" s="118" t="str">
        <f>'18年合同登记表'!F136</f>
        <v>行宫酒店</v>
      </c>
      <c r="C103" s="119" t="str">
        <f>'18年合同登记表'!H136</f>
        <v>NHY-20180817-L-01-01-049</v>
      </c>
      <c r="D103" s="119" t="str">
        <f>'18年合同登记表'!I136</f>
        <v>锅炉年度维保</v>
      </c>
      <c r="E103" s="120" t="str">
        <f>'18年合同登记表'!L136</f>
        <v>陈勇</v>
      </c>
      <c r="F103" s="121">
        <f>客服部最终提成计算表!$X105*0.15*0.8*0.85*'18年合同登记表'!T136/'18年合同登记表'!$M136</f>
        <v>0</v>
      </c>
      <c r="G103" s="122">
        <f>客服部最终提成计算表!$X105*0.15*0.8*0.08*'18年合同登记表'!T136/'18年合同登记表'!$M136</f>
        <v>0</v>
      </c>
      <c r="H103" s="122">
        <f>客服部最终提成计算表!$X105*0.15*0.8*0.05*'18年合同登记表'!T136/'18年合同登记表'!$M136</f>
        <v>0</v>
      </c>
      <c r="I103" s="122">
        <f>客服部最终提成计算表!$X105*0.15*0.8*0.02*'18年合同登记表'!T136/'18年合同登记表'!$M136</f>
        <v>0</v>
      </c>
      <c r="J103" s="122">
        <f>客服部最终提成计算表!$X105*0.15*0.8*0.85*'18年合同登记表'!V136/'18年合同登记表'!$M136</f>
        <v>0</v>
      </c>
      <c r="K103" s="122">
        <f>客服部最终提成计算表!$X105*0.15*0.8*0.08*'18年合同登记表'!V136/'18年合同登记表'!$M136</f>
        <v>0</v>
      </c>
      <c r="L103" s="122">
        <f>客服部最终提成计算表!$X105*0.15*0.8*0.05*'18年合同登记表'!V136/'18年合同登记表'!$M136</f>
        <v>0</v>
      </c>
      <c r="M103" s="122">
        <f>客服部最终提成计算表!$X105*0.15*0.8*0.02*'18年合同登记表'!V136/'18年合同登记表'!$M136</f>
        <v>0</v>
      </c>
      <c r="N103" s="122">
        <f>客服部最终提成计算表!$X105*0.15*0.8*0.85*'18年合同登记表'!X136/'18年合同登记表'!$M136</f>
        <v>0</v>
      </c>
      <c r="O103" s="122">
        <f>客服部最终提成计算表!$X105*0.15*0.8*0.08*'18年合同登记表'!X136/'18年合同登记表'!$M136</f>
        <v>0</v>
      </c>
      <c r="P103" s="122">
        <f>客服部最终提成计算表!$X105*0.15*0.8*0.05*'18年合同登记表'!X136/'18年合同登记表'!$M136</f>
        <v>0</v>
      </c>
      <c r="Q103" s="122">
        <f>客服部最终提成计算表!$X105*0.15*0.8*0.02*'18年合同登记表'!X136/'18年合同登记表'!$M136</f>
        <v>0</v>
      </c>
      <c r="R103" s="122">
        <f>客服部最终提成计算表!$X105*0.15*0.8*0.85*'18年合同登记表'!Z136/'18年合同登记表'!$M136</f>
        <v>0</v>
      </c>
      <c r="S103" s="122">
        <f>客服部最终提成计算表!$X105*0.15*0.8*0.08*'18年合同登记表'!Z136/'18年合同登记表'!$M136</f>
        <v>0</v>
      </c>
      <c r="T103" s="122">
        <f>客服部最终提成计算表!$X105*0.15*0.8*0.05*'18年合同登记表'!Z136/'18年合同登记表'!$M136</f>
        <v>0</v>
      </c>
      <c r="U103" s="122">
        <f>客服部最终提成计算表!$X105*0.15*0.8*0.02*'18年合同登记表'!Z136/'18年合同登记表'!$M136</f>
        <v>0</v>
      </c>
      <c r="V103" s="122">
        <f>客服部最终提成计算表!$X105*0.15*0.8*0.85*'18年合同登记表'!AB136/'18年合同登记表'!$M136</f>
        <v>0</v>
      </c>
      <c r="W103" s="122">
        <f>客服部最终提成计算表!$X105*0.15*0.8*0.08*'18年合同登记表'!AB136/'18年合同登记表'!$M136</f>
        <v>0</v>
      </c>
      <c r="X103" s="122">
        <f>客服部最终提成计算表!$X105*0.15*0.8*0.05*'18年合同登记表'!AB136/'18年合同登记表'!$M136</f>
        <v>0</v>
      </c>
      <c r="Y103" s="122">
        <f>客服部最终提成计算表!$X105*0.15*0.8*0.02*'18年合同登记表'!AB136/'18年合同登记表'!$M136</f>
        <v>0</v>
      </c>
      <c r="Z103" s="122">
        <f>客服部最终提成计算表!$X105*0.15*0.8*0.85*'18年合同登记表'!AD136/'18年合同登记表'!$M136</f>
        <v>0</v>
      </c>
      <c r="AA103" s="122">
        <f>客服部最终提成计算表!$X105*0.15*0.8*0.08*'18年合同登记表'!AD136/'18年合同登记表'!$M136</f>
        <v>0</v>
      </c>
      <c r="AB103" s="122">
        <f>客服部最终提成计算表!$X105*0.15*0.8*0.05*'18年合同登记表'!AD136/'18年合同登记表'!$M136</f>
        <v>0</v>
      </c>
      <c r="AC103" s="122">
        <f>客服部最终提成计算表!$X105*0.15*0.8*0.02*'18年合同登记表'!AD136/'18年合同登记表'!$M136</f>
        <v>0</v>
      </c>
      <c r="AD103" s="122">
        <f>客服部最终提成计算表!$X105*0.15*0.8*0.85*'18年合同登记表'!AF136/'18年合同登记表'!$M136</f>
        <v>0</v>
      </c>
      <c r="AE103" s="122">
        <f>客服部最终提成计算表!$X105*0.15*0.8*0.08*'18年合同登记表'!AF136/'18年合同登记表'!$M136</f>
        <v>0</v>
      </c>
      <c r="AF103" s="122">
        <f>客服部最终提成计算表!$X105*0.15*0.8*0.05*'18年合同登记表'!AF136/'18年合同登记表'!$M136</f>
        <v>0</v>
      </c>
      <c r="AG103" s="122">
        <f>客服部最终提成计算表!$X105*0.15*0.8*0.02*'18年合同登记表'!AF136/'18年合同登记表'!$M136</f>
        <v>0</v>
      </c>
      <c r="AH103" s="122">
        <f>客服部最终提成计算表!$X105*0.15*0.8*0.85*'18年合同登记表'!AH136/'18年合同登记表'!$M136</f>
        <v>0</v>
      </c>
      <c r="AI103" s="122">
        <f>客服部最终提成计算表!$X105*0.15*0.8*0.08*'18年合同登记表'!AH136/'18年合同登记表'!$M136</f>
        <v>0</v>
      </c>
      <c r="AJ103" s="122">
        <f>客服部最终提成计算表!$X105*0.15*0.8*0.05*'18年合同登记表'!AH136/'18年合同登记表'!$M136</f>
        <v>0</v>
      </c>
      <c r="AK103" s="122">
        <f>客服部最终提成计算表!$X105*0.15*0.8*0.02*'18年合同登记表'!AH136/'18年合同登记表'!$M136</f>
        <v>0</v>
      </c>
      <c r="AL103" s="122">
        <f>客服部最终提成计算表!$X105*0.15*0.8*0.85*'18年合同登记表'!AJ136/'18年合同登记表'!$M136</f>
        <v>0</v>
      </c>
      <c r="AM103" s="122">
        <f>客服部最终提成计算表!$X105*0.15*0.8*0.08*'18年合同登记表'!AJ136/'18年合同登记表'!$M136</f>
        <v>0</v>
      </c>
      <c r="AN103" s="122">
        <f>客服部最终提成计算表!$X105*0.15*0.8*0.05*'18年合同登记表'!AJ136/'18年合同登记表'!$M136</f>
        <v>0</v>
      </c>
      <c r="AO103" s="122">
        <f>客服部最终提成计算表!$X105*0.15*0.8*0.02*'18年合同登记表'!AJ136/'18年合同登记表'!$M136</f>
        <v>0</v>
      </c>
      <c r="AP103" s="122">
        <f>客服部最终提成计算表!$X105*0.15*0.8*0.85*'18年合同登记表'!AL136/'18年合同登记表'!$M136</f>
        <v>856.8</v>
      </c>
      <c r="AQ103" s="122">
        <f>客服部最终提成计算表!$X105*0.15*0.8*0.08*'18年合同登记表'!AL136/'18年合同登记表'!$M136</f>
        <v>80.64</v>
      </c>
      <c r="AR103" s="122">
        <f>客服部最终提成计算表!$X105*0.15*0.8*0.05*'18年合同登记表'!AL136/'18年合同登记表'!$M136</f>
        <v>50.4</v>
      </c>
      <c r="AS103" s="122">
        <f>客服部最终提成计算表!$X105*0.15*0.8*0.02*'18年合同登记表'!AL136/'18年合同登记表'!$M136</f>
        <v>20.16</v>
      </c>
      <c r="AT103" s="122">
        <f>客服部最终提成计算表!$X105*0.15*0.8*0.85*'18年合同登记表'!AN136/'18年合同登记表'!$M136</f>
        <v>0</v>
      </c>
      <c r="AU103" s="122">
        <f>客服部最终提成计算表!$X105*0.15*0.8*0.08*'18年合同登记表'!AN136/'18年合同登记表'!$M136</f>
        <v>0</v>
      </c>
      <c r="AV103" s="122">
        <f>客服部最终提成计算表!$X105*0.15*0.8*0.05*'18年合同登记表'!AN136/'18年合同登记表'!$M136</f>
        <v>0</v>
      </c>
      <c r="AW103" s="122">
        <f>客服部最终提成计算表!$X105*0.15*0.8*0.02*'18年合同登记表'!AN136/'18年合同登记表'!$M136</f>
        <v>0</v>
      </c>
      <c r="AX103" s="122">
        <f>客服部最终提成计算表!$X105*0.15*0.8*0.85*'18年合同登记表'!AP136/'18年合同登记表'!$M136</f>
        <v>0</v>
      </c>
      <c r="AY103" s="122">
        <f>客服部最终提成计算表!$X105*0.15*0.8*0.08*'18年合同登记表'!AP136/'18年合同登记表'!$M136</f>
        <v>0</v>
      </c>
      <c r="AZ103" s="122">
        <f>客服部最终提成计算表!$X105*0.15*0.8*0.05*'18年合同登记表'!AP136/'18年合同登记表'!$M136</f>
        <v>0</v>
      </c>
      <c r="BA103" s="131">
        <f>客服部最终提成计算表!$X105*0.15*0.8*0.02*'18年合同登记表'!AP136/'18年合同登记表'!$M136</f>
        <v>0</v>
      </c>
    </row>
    <row r="104" s="104" customFormat="1" ht="14.25" spans="1:53">
      <c r="A104" s="117"/>
      <c r="B104" s="118" t="str">
        <f>'18年合同登记表'!F137</f>
        <v>中泽农</v>
      </c>
      <c r="C104" s="119" t="str">
        <f>'18年合同登记表'!H137</f>
        <v>NHY-20180814-L-01-01-049</v>
      </c>
      <c r="D104" s="119" t="str">
        <f>'18年合同登记表'!I137</f>
        <v>直燃机年度维保</v>
      </c>
      <c r="E104" s="120" t="str">
        <f>'18年合同登记表'!L137</f>
        <v>陈勇</v>
      </c>
      <c r="F104" s="121">
        <f>客服部最终提成计算表!$X106*0.15*0.8*0.85*'18年合同登记表'!T137/'18年合同登记表'!$M137</f>
        <v>0</v>
      </c>
      <c r="G104" s="122">
        <f>客服部最终提成计算表!$X106*0.15*0.8*0.08*'18年合同登记表'!T137/'18年合同登记表'!$M137</f>
        <v>0</v>
      </c>
      <c r="H104" s="122">
        <f>客服部最终提成计算表!$X106*0.15*0.8*0.05*'18年合同登记表'!T137/'18年合同登记表'!$M137</f>
        <v>0</v>
      </c>
      <c r="I104" s="122">
        <f>客服部最终提成计算表!$X106*0.15*0.8*0.02*'18年合同登记表'!T137/'18年合同登记表'!$M137</f>
        <v>0</v>
      </c>
      <c r="J104" s="122">
        <f>客服部最终提成计算表!$X106*0.15*0.8*0.85*'18年合同登记表'!V137/'18年合同登记表'!$M137</f>
        <v>0</v>
      </c>
      <c r="K104" s="122">
        <f>客服部最终提成计算表!$X106*0.15*0.8*0.08*'18年合同登记表'!V137/'18年合同登记表'!$M137</f>
        <v>0</v>
      </c>
      <c r="L104" s="122">
        <f>客服部最终提成计算表!$X106*0.15*0.8*0.05*'18年合同登记表'!V137/'18年合同登记表'!$M137</f>
        <v>0</v>
      </c>
      <c r="M104" s="122">
        <f>客服部最终提成计算表!$X106*0.15*0.8*0.02*'18年合同登记表'!V137/'18年合同登记表'!$M137</f>
        <v>0</v>
      </c>
      <c r="N104" s="122">
        <f>客服部最终提成计算表!$X106*0.15*0.8*0.85*'18年合同登记表'!X137/'18年合同登记表'!$M137</f>
        <v>0</v>
      </c>
      <c r="O104" s="122">
        <f>客服部最终提成计算表!$X106*0.15*0.8*0.08*'18年合同登记表'!X137/'18年合同登记表'!$M137</f>
        <v>0</v>
      </c>
      <c r="P104" s="122">
        <f>客服部最终提成计算表!$X106*0.15*0.8*0.05*'18年合同登记表'!X137/'18年合同登记表'!$M137</f>
        <v>0</v>
      </c>
      <c r="Q104" s="122">
        <f>客服部最终提成计算表!$X106*0.15*0.8*0.02*'18年合同登记表'!X137/'18年合同登记表'!$M137</f>
        <v>0</v>
      </c>
      <c r="R104" s="122">
        <f>客服部最终提成计算表!$X106*0.15*0.8*0.85*'18年合同登记表'!Z137/'18年合同登记表'!$M137</f>
        <v>0</v>
      </c>
      <c r="S104" s="122">
        <f>客服部最终提成计算表!$X106*0.15*0.8*0.08*'18年合同登记表'!Z137/'18年合同登记表'!$M137</f>
        <v>0</v>
      </c>
      <c r="T104" s="122">
        <f>客服部最终提成计算表!$X106*0.15*0.8*0.05*'18年合同登记表'!Z137/'18年合同登记表'!$M137</f>
        <v>0</v>
      </c>
      <c r="U104" s="122">
        <f>客服部最终提成计算表!$X106*0.15*0.8*0.02*'18年合同登记表'!Z137/'18年合同登记表'!$M137</f>
        <v>0</v>
      </c>
      <c r="V104" s="122">
        <f>客服部最终提成计算表!$X106*0.15*0.8*0.85*'18年合同登记表'!AB137/'18年合同登记表'!$M137</f>
        <v>0</v>
      </c>
      <c r="W104" s="122">
        <f>客服部最终提成计算表!$X106*0.15*0.8*0.08*'18年合同登记表'!AB137/'18年合同登记表'!$M137</f>
        <v>0</v>
      </c>
      <c r="X104" s="122">
        <f>客服部最终提成计算表!$X106*0.15*0.8*0.05*'18年合同登记表'!AB137/'18年合同登记表'!$M137</f>
        <v>0</v>
      </c>
      <c r="Y104" s="122">
        <f>客服部最终提成计算表!$X106*0.15*0.8*0.02*'18年合同登记表'!AB137/'18年合同登记表'!$M137</f>
        <v>0</v>
      </c>
      <c r="Z104" s="122">
        <f>客服部最终提成计算表!$X106*0.15*0.8*0.85*'18年合同登记表'!AD137/'18年合同登记表'!$M137</f>
        <v>0</v>
      </c>
      <c r="AA104" s="122">
        <f>客服部最终提成计算表!$X106*0.15*0.8*0.08*'18年合同登记表'!AD137/'18年合同登记表'!$M137</f>
        <v>0</v>
      </c>
      <c r="AB104" s="122">
        <f>客服部最终提成计算表!$X106*0.15*0.8*0.05*'18年合同登记表'!AD137/'18年合同登记表'!$M137</f>
        <v>0</v>
      </c>
      <c r="AC104" s="122">
        <f>客服部最终提成计算表!$X106*0.15*0.8*0.02*'18年合同登记表'!AD137/'18年合同登记表'!$M137</f>
        <v>0</v>
      </c>
      <c r="AD104" s="122">
        <f>客服部最终提成计算表!$X106*0.15*0.8*0.85*'18年合同登记表'!AF137/'18年合同登记表'!$M137</f>
        <v>0</v>
      </c>
      <c r="AE104" s="122">
        <f>客服部最终提成计算表!$X106*0.15*0.8*0.08*'18年合同登记表'!AF137/'18年合同登记表'!$M137</f>
        <v>0</v>
      </c>
      <c r="AF104" s="122">
        <f>客服部最终提成计算表!$X106*0.15*0.8*0.05*'18年合同登记表'!AF137/'18年合同登记表'!$M137</f>
        <v>0</v>
      </c>
      <c r="AG104" s="122">
        <f>客服部最终提成计算表!$X106*0.15*0.8*0.02*'18年合同登记表'!AF137/'18年合同登记表'!$M137</f>
        <v>0</v>
      </c>
      <c r="AH104" s="122">
        <f>客服部最终提成计算表!$X106*0.15*0.8*0.85*'18年合同登记表'!AH137/'18年合同登记表'!$M137</f>
        <v>0</v>
      </c>
      <c r="AI104" s="122">
        <f>客服部最终提成计算表!$X106*0.15*0.8*0.08*'18年合同登记表'!AH137/'18年合同登记表'!$M137</f>
        <v>0</v>
      </c>
      <c r="AJ104" s="122">
        <f>客服部最终提成计算表!$X106*0.15*0.8*0.05*'18年合同登记表'!AH137/'18年合同登记表'!$M137</f>
        <v>0</v>
      </c>
      <c r="AK104" s="122">
        <f>客服部最终提成计算表!$X106*0.15*0.8*0.02*'18年合同登记表'!AH137/'18年合同登记表'!$M137</f>
        <v>0</v>
      </c>
      <c r="AL104" s="122">
        <f>客服部最终提成计算表!$X106*0.15*0.8*0.85*'18年合同登记表'!AJ137/'18年合同登记表'!$M137</f>
        <v>0</v>
      </c>
      <c r="AM104" s="122">
        <f>客服部最终提成计算表!$X106*0.15*0.8*0.08*'18年合同登记表'!AJ137/'18年合同登记表'!$M137</f>
        <v>0</v>
      </c>
      <c r="AN104" s="122">
        <f>客服部最终提成计算表!$X106*0.15*0.8*0.05*'18年合同登记表'!AJ137/'18年合同登记表'!$M137</f>
        <v>0</v>
      </c>
      <c r="AO104" s="122">
        <f>客服部最终提成计算表!$X106*0.15*0.8*0.02*'18年合同登记表'!AJ137/'18年合同登记表'!$M137</f>
        <v>0</v>
      </c>
      <c r="AP104" s="122">
        <f>客服部最终提成计算表!$X106*0.15*0.8*0.85*'18年合同登记表'!AL137/'18年合同登记表'!$M137</f>
        <v>0</v>
      </c>
      <c r="AQ104" s="122">
        <f>客服部最终提成计算表!$X106*0.15*0.8*0.08*'18年合同登记表'!AL137/'18年合同登记表'!$M137</f>
        <v>0</v>
      </c>
      <c r="AR104" s="122">
        <f>客服部最终提成计算表!$X106*0.15*0.8*0.05*'18年合同登记表'!AL137/'18年合同登记表'!$M137</f>
        <v>0</v>
      </c>
      <c r="AS104" s="122">
        <f>客服部最终提成计算表!$X106*0.15*0.8*0.02*'18年合同登记表'!AL137/'18年合同登记表'!$M137</f>
        <v>0</v>
      </c>
      <c r="AT104" s="122">
        <f>客服部最终提成计算表!$X106*0.15*0.8*0.85*'18年合同登记表'!AN137/'18年合同登记表'!$M137</f>
        <v>0</v>
      </c>
      <c r="AU104" s="122">
        <f>客服部最终提成计算表!$X106*0.15*0.8*0.08*'18年合同登记表'!AN137/'18年合同登记表'!$M137</f>
        <v>0</v>
      </c>
      <c r="AV104" s="122">
        <f>客服部最终提成计算表!$X106*0.15*0.8*0.05*'18年合同登记表'!AN137/'18年合同登记表'!$M137</f>
        <v>0</v>
      </c>
      <c r="AW104" s="122">
        <f>客服部最终提成计算表!$X106*0.15*0.8*0.02*'18年合同登记表'!AN137/'18年合同登记表'!$M137</f>
        <v>0</v>
      </c>
      <c r="AX104" s="122">
        <f>客服部最终提成计算表!$X106*0.15*0.8*0.85*'18年合同登记表'!AP137/'18年合同登记表'!$M137</f>
        <v>1173</v>
      </c>
      <c r="AY104" s="122">
        <f>客服部最终提成计算表!$X106*0.15*0.8*0.08*'18年合同登记表'!AP137/'18年合同登记表'!$M137</f>
        <v>110.4</v>
      </c>
      <c r="AZ104" s="122">
        <f>客服部最终提成计算表!$X106*0.15*0.8*0.05*'18年合同登记表'!AP137/'18年合同登记表'!$M137</f>
        <v>69</v>
      </c>
      <c r="BA104" s="131">
        <f>客服部最终提成计算表!$X106*0.15*0.8*0.02*'18年合同登记表'!AP137/'18年合同登记表'!$M137</f>
        <v>27.6</v>
      </c>
    </row>
    <row r="105" s="104" customFormat="1" ht="14.25" spans="1:53">
      <c r="A105" s="117"/>
      <c r="B105" s="118" t="str">
        <f>'18年合同登记表'!F138</f>
        <v>劝宝新都汇</v>
      </c>
      <c r="C105" s="119" t="str">
        <f>'18年合同登记表'!H138</f>
        <v>NHY-20180902-L-01-01-030</v>
      </c>
      <c r="D105" s="119" t="str">
        <f>'18年合同登记表'!I138</f>
        <v>直燃机配件销售维修</v>
      </c>
      <c r="E105" s="120" t="str">
        <f>'18年合同登记表'!L138</f>
        <v>陈勇</v>
      </c>
      <c r="F105" s="121">
        <f>客服部最终提成计算表!$X107*0.15*0.8*0.85*'18年合同登记表'!T138/'18年合同登记表'!$M138</f>
        <v>0</v>
      </c>
      <c r="G105" s="122">
        <f>客服部最终提成计算表!$X107*0.15*0.8*0.08*'18年合同登记表'!T138/'18年合同登记表'!$M138</f>
        <v>0</v>
      </c>
      <c r="H105" s="122">
        <f>客服部最终提成计算表!$X107*0.15*0.8*0.05*'18年合同登记表'!T138/'18年合同登记表'!$M138</f>
        <v>0</v>
      </c>
      <c r="I105" s="122">
        <f>客服部最终提成计算表!$X107*0.15*0.8*0.02*'18年合同登记表'!T138/'18年合同登记表'!$M138</f>
        <v>0</v>
      </c>
      <c r="J105" s="122">
        <f>客服部最终提成计算表!$X107*0.15*0.8*0.85*'18年合同登记表'!V138/'18年合同登记表'!$M138</f>
        <v>0</v>
      </c>
      <c r="K105" s="122">
        <f>客服部最终提成计算表!$X107*0.15*0.8*0.08*'18年合同登记表'!V138/'18年合同登记表'!$M138</f>
        <v>0</v>
      </c>
      <c r="L105" s="122">
        <f>客服部最终提成计算表!$X107*0.15*0.8*0.05*'18年合同登记表'!V138/'18年合同登记表'!$M138</f>
        <v>0</v>
      </c>
      <c r="M105" s="122">
        <f>客服部最终提成计算表!$X107*0.15*0.8*0.02*'18年合同登记表'!V138/'18年合同登记表'!$M138</f>
        <v>0</v>
      </c>
      <c r="N105" s="122">
        <f>客服部最终提成计算表!$X107*0.15*0.8*0.85*'18年合同登记表'!X138/'18年合同登记表'!$M138</f>
        <v>0</v>
      </c>
      <c r="O105" s="122">
        <f>客服部最终提成计算表!$X107*0.15*0.8*0.08*'18年合同登记表'!X138/'18年合同登记表'!$M138</f>
        <v>0</v>
      </c>
      <c r="P105" s="122">
        <f>客服部最终提成计算表!$X107*0.15*0.8*0.05*'18年合同登记表'!X138/'18年合同登记表'!$M138</f>
        <v>0</v>
      </c>
      <c r="Q105" s="122">
        <f>客服部最终提成计算表!$X107*0.15*0.8*0.02*'18年合同登记表'!X138/'18年合同登记表'!$M138</f>
        <v>0</v>
      </c>
      <c r="R105" s="122">
        <f>客服部最终提成计算表!$X107*0.15*0.8*0.85*'18年合同登记表'!Z138/'18年合同登记表'!$M138</f>
        <v>0</v>
      </c>
      <c r="S105" s="122">
        <f>客服部最终提成计算表!$X107*0.15*0.8*0.08*'18年合同登记表'!Z138/'18年合同登记表'!$M138</f>
        <v>0</v>
      </c>
      <c r="T105" s="122">
        <f>客服部最终提成计算表!$X107*0.15*0.8*0.05*'18年合同登记表'!Z138/'18年合同登记表'!$M138</f>
        <v>0</v>
      </c>
      <c r="U105" s="122">
        <f>客服部最终提成计算表!$X107*0.15*0.8*0.02*'18年合同登记表'!Z138/'18年合同登记表'!$M138</f>
        <v>0</v>
      </c>
      <c r="V105" s="122">
        <f>客服部最终提成计算表!$X107*0.15*0.8*0.85*'18年合同登记表'!AB138/'18年合同登记表'!$M138</f>
        <v>0</v>
      </c>
      <c r="W105" s="122">
        <f>客服部最终提成计算表!$X107*0.15*0.8*0.08*'18年合同登记表'!AB138/'18年合同登记表'!$M138</f>
        <v>0</v>
      </c>
      <c r="X105" s="122">
        <f>客服部最终提成计算表!$X107*0.15*0.8*0.05*'18年合同登记表'!AB138/'18年合同登记表'!$M138</f>
        <v>0</v>
      </c>
      <c r="Y105" s="122">
        <f>客服部最终提成计算表!$X107*0.15*0.8*0.02*'18年合同登记表'!AB138/'18年合同登记表'!$M138</f>
        <v>0</v>
      </c>
      <c r="Z105" s="122">
        <f>客服部最终提成计算表!$X107*0.15*0.8*0.85*'18年合同登记表'!AD138/'18年合同登记表'!$M138</f>
        <v>0</v>
      </c>
      <c r="AA105" s="122">
        <f>客服部最终提成计算表!$X107*0.15*0.8*0.08*'18年合同登记表'!AD138/'18年合同登记表'!$M138</f>
        <v>0</v>
      </c>
      <c r="AB105" s="122">
        <f>客服部最终提成计算表!$X107*0.15*0.8*0.05*'18年合同登记表'!AD138/'18年合同登记表'!$M138</f>
        <v>0</v>
      </c>
      <c r="AC105" s="122">
        <f>客服部最终提成计算表!$X107*0.15*0.8*0.02*'18年合同登记表'!AD138/'18年合同登记表'!$M138</f>
        <v>0</v>
      </c>
      <c r="AD105" s="122">
        <f>客服部最终提成计算表!$X107*0.15*0.8*0.85*'18年合同登记表'!AF138/'18年合同登记表'!$M138</f>
        <v>0</v>
      </c>
      <c r="AE105" s="122">
        <f>客服部最终提成计算表!$X107*0.15*0.8*0.08*'18年合同登记表'!AF138/'18年合同登记表'!$M138</f>
        <v>0</v>
      </c>
      <c r="AF105" s="122">
        <f>客服部最终提成计算表!$X107*0.15*0.8*0.05*'18年合同登记表'!AF138/'18年合同登记表'!$M138</f>
        <v>0</v>
      </c>
      <c r="AG105" s="122">
        <f>客服部最终提成计算表!$X107*0.15*0.8*0.02*'18年合同登记表'!AF138/'18年合同登记表'!$M138</f>
        <v>0</v>
      </c>
      <c r="AH105" s="122">
        <f>客服部最终提成计算表!$X107*0.15*0.8*0.85*'18年合同登记表'!AH138/'18年合同登记表'!$M138</f>
        <v>0</v>
      </c>
      <c r="AI105" s="122">
        <f>客服部最终提成计算表!$X107*0.15*0.8*0.08*'18年合同登记表'!AH138/'18年合同登记表'!$M138</f>
        <v>0</v>
      </c>
      <c r="AJ105" s="122">
        <f>客服部最终提成计算表!$X107*0.15*0.8*0.05*'18年合同登记表'!AH138/'18年合同登记表'!$M138</f>
        <v>0</v>
      </c>
      <c r="AK105" s="122">
        <f>客服部最终提成计算表!$X107*0.15*0.8*0.02*'18年合同登记表'!AH138/'18年合同登记表'!$M138</f>
        <v>0</v>
      </c>
      <c r="AL105" s="122">
        <f>客服部最终提成计算表!$X107*0.15*0.8*0.85*'18年合同登记表'!AJ138/'18年合同登记表'!$M138</f>
        <v>3060</v>
      </c>
      <c r="AM105" s="122">
        <f>客服部最终提成计算表!$X107*0.15*0.8*0.08*'18年合同登记表'!AJ138/'18年合同登记表'!$M138</f>
        <v>288</v>
      </c>
      <c r="AN105" s="122">
        <f>客服部最终提成计算表!$X107*0.15*0.8*0.05*'18年合同登记表'!AJ138/'18年合同登记表'!$M138</f>
        <v>180</v>
      </c>
      <c r="AO105" s="122">
        <f>客服部最终提成计算表!$X107*0.15*0.8*0.02*'18年合同登记表'!AJ138/'18年合同登记表'!$M138</f>
        <v>72</v>
      </c>
      <c r="AP105" s="122">
        <f>客服部最终提成计算表!$X107*0.15*0.8*0.85*'18年合同登记表'!AL138/'18年合同登记表'!$M138</f>
        <v>0</v>
      </c>
      <c r="AQ105" s="122">
        <f>客服部最终提成计算表!$X107*0.15*0.8*0.08*'18年合同登记表'!AL138/'18年合同登记表'!$M138</f>
        <v>0</v>
      </c>
      <c r="AR105" s="122">
        <f>客服部最终提成计算表!$X107*0.15*0.8*0.05*'18年合同登记表'!AL138/'18年合同登记表'!$M138</f>
        <v>0</v>
      </c>
      <c r="AS105" s="122">
        <f>客服部最终提成计算表!$X107*0.15*0.8*0.02*'18年合同登记表'!AL138/'18年合同登记表'!$M138</f>
        <v>0</v>
      </c>
      <c r="AT105" s="122">
        <f>客服部最终提成计算表!$X107*0.15*0.8*0.85*'18年合同登记表'!AN138/'18年合同登记表'!$M138</f>
        <v>0</v>
      </c>
      <c r="AU105" s="122">
        <f>客服部最终提成计算表!$X107*0.15*0.8*0.08*'18年合同登记表'!AN138/'18年合同登记表'!$M138</f>
        <v>0</v>
      </c>
      <c r="AV105" s="122">
        <f>客服部最终提成计算表!$X107*0.15*0.8*0.05*'18年合同登记表'!AN138/'18年合同登记表'!$M138</f>
        <v>0</v>
      </c>
      <c r="AW105" s="122">
        <f>客服部最终提成计算表!$X107*0.15*0.8*0.02*'18年合同登记表'!AN138/'18年合同登记表'!$M138</f>
        <v>0</v>
      </c>
      <c r="AX105" s="122">
        <f>客服部最终提成计算表!$X107*0.15*0.8*0.85*'18年合同登记表'!AP138/'18年合同登记表'!$M138</f>
        <v>0</v>
      </c>
      <c r="AY105" s="122">
        <f>客服部最终提成计算表!$X107*0.15*0.8*0.08*'18年合同登记表'!AP138/'18年合同登记表'!$M138</f>
        <v>0</v>
      </c>
      <c r="AZ105" s="122">
        <f>客服部最终提成计算表!$X107*0.15*0.8*0.05*'18年合同登记表'!AP138/'18年合同登记表'!$M138</f>
        <v>0</v>
      </c>
      <c r="BA105" s="131">
        <f>客服部最终提成计算表!$X107*0.15*0.8*0.02*'18年合同登记表'!AP138/'18年合同登记表'!$M138</f>
        <v>0</v>
      </c>
    </row>
    <row r="106" s="104" customFormat="1" ht="14.25" spans="1:53">
      <c r="A106" s="117"/>
      <c r="B106" s="118" t="str">
        <f>'18年合同登记表'!F141</f>
        <v>华春新能源</v>
      </c>
      <c r="C106" s="119" t="str">
        <f>'18年合同登记表'!H141</f>
        <v>NHY-20180911-L-01-01-030</v>
      </c>
      <c r="D106" s="119" t="str">
        <f>'18年合同登记表'!I141</f>
        <v>吸收式热泵年度维保</v>
      </c>
      <c r="E106" s="120" t="str">
        <f>'18年合同登记表'!L141</f>
        <v>陈勇</v>
      </c>
      <c r="F106" s="121" t="e">
        <f>客服部最终提成计算表!$X108*0.15*0.8*0.85*'18年合同登记表'!#REF!/'18年合同登记表'!$M141</f>
        <v>#REF!</v>
      </c>
      <c r="G106" s="122" t="e">
        <f>客服部最终提成计算表!$X108*0.15*0.8*0.08*'18年合同登记表'!#REF!/'18年合同登记表'!$M141</f>
        <v>#REF!</v>
      </c>
      <c r="H106" s="122" t="e">
        <f>客服部最终提成计算表!$X108*0.15*0.8*0.05*'18年合同登记表'!#REF!/'18年合同登记表'!$M141</f>
        <v>#REF!</v>
      </c>
      <c r="I106" s="122" t="e">
        <f>客服部最终提成计算表!$X108*0.15*0.8*0.02*'18年合同登记表'!#REF!/'18年合同登记表'!$M141</f>
        <v>#REF!</v>
      </c>
      <c r="J106" s="122" t="e">
        <f>客服部最终提成计算表!$X108*0.15*0.8*0.85*'18年合同登记表'!#REF!/'18年合同登记表'!$M141</f>
        <v>#REF!</v>
      </c>
      <c r="K106" s="122" t="e">
        <f>客服部最终提成计算表!$X108*0.15*0.8*0.08*'18年合同登记表'!#REF!/'18年合同登记表'!$M141</f>
        <v>#REF!</v>
      </c>
      <c r="L106" s="122" t="e">
        <f>客服部最终提成计算表!$X108*0.15*0.8*0.05*'18年合同登记表'!#REF!/'18年合同登记表'!$M141</f>
        <v>#REF!</v>
      </c>
      <c r="M106" s="122" t="e">
        <f>客服部最终提成计算表!$X108*0.15*0.8*0.02*'18年合同登记表'!#REF!/'18年合同登记表'!$M141</f>
        <v>#REF!</v>
      </c>
      <c r="N106" s="122" t="e">
        <f>客服部最终提成计算表!$X108*0.15*0.8*0.85*'18年合同登记表'!#REF!/'18年合同登记表'!$M141</f>
        <v>#REF!</v>
      </c>
      <c r="O106" s="122" t="e">
        <f>客服部最终提成计算表!$X108*0.15*0.8*0.08*'18年合同登记表'!#REF!/'18年合同登记表'!$M141</f>
        <v>#REF!</v>
      </c>
      <c r="P106" s="122" t="e">
        <f>客服部最终提成计算表!$X108*0.15*0.8*0.05*'18年合同登记表'!#REF!/'18年合同登记表'!$M141</f>
        <v>#REF!</v>
      </c>
      <c r="Q106" s="122" t="e">
        <f>客服部最终提成计算表!$X108*0.15*0.8*0.02*'18年合同登记表'!#REF!/'18年合同登记表'!$M141</f>
        <v>#REF!</v>
      </c>
      <c r="R106" s="122" t="e">
        <f>客服部最终提成计算表!$X108*0.15*0.8*0.85*'18年合同登记表'!#REF!/'18年合同登记表'!$M141</f>
        <v>#REF!</v>
      </c>
      <c r="S106" s="122" t="e">
        <f>客服部最终提成计算表!$X108*0.15*0.8*0.08*'18年合同登记表'!#REF!/'18年合同登记表'!$M141</f>
        <v>#REF!</v>
      </c>
      <c r="T106" s="122" t="e">
        <f>客服部最终提成计算表!$X108*0.15*0.8*0.05*'18年合同登记表'!#REF!/'18年合同登记表'!$M141</f>
        <v>#REF!</v>
      </c>
      <c r="U106" s="122" t="e">
        <f>客服部最终提成计算表!$X108*0.15*0.8*0.02*'18年合同登记表'!#REF!/'18年合同登记表'!$M141</f>
        <v>#REF!</v>
      </c>
      <c r="V106" s="122" t="e">
        <f>客服部最终提成计算表!$X108*0.15*0.8*0.85*'18年合同登记表'!#REF!/'18年合同登记表'!$M141</f>
        <v>#REF!</v>
      </c>
      <c r="W106" s="122" t="e">
        <f>客服部最终提成计算表!$X108*0.15*0.8*0.08*'18年合同登记表'!#REF!/'18年合同登记表'!$M141</f>
        <v>#REF!</v>
      </c>
      <c r="X106" s="122" t="e">
        <f>客服部最终提成计算表!$X108*0.15*0.8*0.05*'18年合同登记表'!#REF!/'18年合同登记表'!$M141</f>
        <v>#REF!</v>
      </c>
      <c r="Y106" s="122" t="e">
        <f>客服部最终提成计算表!$X108*0.15*0.8*0.02*'18年合同登记表'!#REF!/'18年合同登记表'!$M141</f>
        <v>#REF!</v>
      </c>
      <c r="Z106" s="122" t="e">
        <f>客服部最终提成计算表!$X108*0.15*0.8*0.85*'18年合同登记表'!#REF!/'18年合同登记表'!$M141</f>
        <v>#REF!</v>
      </c>
      <c r="AA106" s="122" t="e">
        <f>客服部最终提成计算表!$X108*0.15*0.8*0.08*'18年合同登记表'!#REF!/'18年合同登记表'!$M141</f>
        <v>#REF!</v>
      </c>
      <c r="AB106" s="122" t="e">
        <f>客服部最终提成计算表!$X108*0.15*0.8*0.05*'18年合同登记表'!#REF!/'18年合同登记表'!$M141</f>
        <v>#REF!</v>
      </c>
      <c r="AC106" s="122" t="e">
        <f>客服部最终提成计算表!$X108*0.15*0.8*0.02*'18年合同登记表'!#REF!/'18年合同登记表'!$M141</f>
        <v>#REF!</v>
      </c>
      <c r="AD106" s="122" t="e">
        <f>客服部最终提成计算表!$X108*0.15*0.8*0.85*'18年合同登记表'!#REF!/'18年合同登记表'!$M141</f>
        <v>#REF!</v>
      </c>
      <c r="AE106" s="122" t="e">
        <f>客服部最终提成计算表!$X108*0.15*0.8*0.08*'18年合同登记表'!#REF!/'18年合同登记表'!$M141</f>
        <v>#REF!</v>
      </c>
      <c r="AF106" s="122" t="e">
        <f>客服部最终提成计算表!$X108*0.15*0.8*0.05*'18年合同登记表'!#REF!/'18年合同登记表'!$M141</f>
        <v>#REF!</v>
      </c>
      <c r="AG106" s="122" t="e">
        <f>客服部最终提成计算表!$X108*0.15*0.8*0.02*'18年合同登记表'!#REF!/'18年合同登记表'!$M141</f>
        <v>#REF!</v>
      </c>
      <c r="AH106" s="122" t="e">
        <f>客服部最终提成计算表!$X108*0.15*0.8*0.85*'18年合同登记表'!#REF!/'18年合同登记表'!$M141</f>
        <v>#REF!</v>
      </c>
      <c r="AI106" s="122" t="e">
        <f>客服部最终提成计算表!$X108*0.15*0.8*0.08*'18年合同登记表'!#REF!/'18年合同登记表'!$M141</f>
        <v>#REF!</v>
      </c>
      <c r="AJ106" s="122" t="e">
        <f>客服部最终提成计算表!$X108*0.15*0.8*0.05*'18年合同登记表'!#REF!/'18年合同登记表'!$M141</f>
        <v>#REF!</v>
      </c>
      <c r="AK106" s="122" t="e">
        <f>客服部最终提成计算表!$X108*0.15*0.8*0.02*'18年合同登记表'!#REF!/'18年合同登记表'!$M141</f>
        <v>#REF!</v>
      </c>
      <c r="AL106" s="122" t="e">
        <f>客服部最终提成计算表!$X108*0.15*0.8*0.85*'18年合同登记表'!#REF!/'18年合同登记表'!$M141</f>
        <v>#REF!</v>
      </c>
      <c r="AM106" s="122" t="e">
        <f>客服部最终提成计算表!$X108*0.15*0.8*0.08*'18年合同登记表'!#REF!/'18年合同登记表'!$M141</f>
        <v>#REF!</v>
      </c>
      <c r="AN106" s="122" t="e">
        <f>客服部最终提成计算表!$X108*0.15*0.8*0.05*'18年合同登记表'!#REF!/'18年合同登记表'!$M141</f>
        <v>#REF!</v>
      </c>
      <c r="AO106" s="122" t="e">
        <f>客服部最终提成计算表!$X108*0.15*0.8*0.02*'18年合同登记表'!#REF!/'18年合同登记表'!$M141</f>
        <v>#REF!</v>
      </c>
      <c r="AP106" s="122" t="e">
        <f>客服部最终提成计算表!$X108*0.15*0.8*0.85*'18年合同登记表'!#REF!/'18年合同登记表'!$M141</f>
        <v>#REF!</v>
      </c>
      <c r="AQ106" s="122" t="e">
        <f>客服部最终提成计算表!$X108*0.15*0.8*0.08*'18年合同登记表'!#REF!/'18年合同登记表'!$M141</f>
        <v>#REF!</v>
      </c>
      <c r="AR106" s="122" t="e">
        <f>客服部最终提成计算表!$X108*0.15*0.8*0.05*'18年合同登记表'!#REF!/'18年合同登记表'!$M141</f>
        <v>#REF!</v>
      </c>
      <c r="AS106" s="122" t="e">
        <f>客服部最终提成计算表!$X108*0.15*0.8*0.02*'18年合同登记表'!#REF!/'18年合同登记表'!$M141</f>
        <v>#REF!</v>
      </c>
      <c r="AT106" s="122" t="e">
        <f>客服部最终提成计算表!$X108*0.15*0.8*0.85*'18年合同登记表'!#REF!/'18年合同登记表'!$M141</f>
        <v>#REF!</v>
      </c>
      <c r="AU106" s="122" t="e">
        <f>客服部最终提成计算表!$X108*0.15*0.8*0.08*'18年合同登记表'!#REF!/'18年合同登记表'!$M141</f>
        <v>#REF!</v>
      </c>
      <c r="AV106" s="122" t="e">
        <f>客服部最终提成计算表!$X108*0.15*0.8*0.05*'18年合同登记表'!#REF!/'18年合同登记表'!$M141</f>
        <v>#REF!</v>
      </c>
      <c r="AW106" s="122" t="e">
        <f>客服部最终提成计算表!$X108*0.15*0.8*0.02*'18年合同登记表'!#REF!/'18年合同登记表'!$M141</f>
        <v>#REF!</v>
      </c>
      <c r="AX106" s="122" t="e">
        <f>客服部最终提成计算表!$X108*0.15*0.8*0.85*'18年合同登记表'!#REF!/'18年合同登记表'!$M141</f>
        <v>#REF!</v>
      </c>
      <c r="AY106" s="122" t="e">
        <f>客服部最终提成计算表!$X108*0.15*0.8*0.08*'18年合同登记表'!#REF!/'18年合同登记表'!$M141</f>
        <v>#REF!</v>
      </c>
      <c r="AZ106" s="122" t="e">
        <f>客服部最终提成计算表!$X108*0.15*0.8*0.05*'18年合同登记表'!#REF!/'18年合同登记表'!$M141</f>
        <v>#REF!</v>
      </c>
      <c r="BA106" s="131" t="e">
        <f>客服部最终提成计算表!$X108*0.15*0.8*0.02*'18年合同登记表'!#REF!/'18年合同登记表'!$M141</f>
        <v>#REF!</v>
      </c>
    </row>
    <row r="107" s="104" customFormat="1" ht="14.25" spans="1:53">
      <c r="A107" s="117"/>
      <c r="B107" s="118" t="e">
        <f>'18年合同登记表'!#REF!</f>
        <v>#REF!</v>
      </c>
      <c r="C107" s="119" t="e">
        <f>'18年合同登记表'!#REF!</f>
        <v>#REF!</v>
      </c>
      <c r="D107" s="119" t="e">
        <f>'18年合同登记表'!#REF!</f>
        <v>#REF!</v>
      </c>
      <c r="E107" s="120" t="e">
        <f>'18年合同登记表'!#REF!</f>
        <v>#REF!</v>
      </c>
      <c r="F107" s="121" t="e">
        <f>客服部最终提成计算表!$X109*0.15*0.8*0.85*'18年合同登记表'!#REF!/'18年合同登记表'!#REF!</f>
        <v>#REF!</v>
      </c>
      <c r="G107" s="122" t="e">
        <f>客服部最终提成计算表!$X109*0.15*0.8*0.08*'18年合同登记表'!#REF!/'18年合同登记表'!#REF!</f>
        <v>#REF!</v>
      </c>
      <c r="H107" s="122" t="e">
        <f>客服部最终提成计算表!$X109*0.15*0.8*0.05*'18年合同登记表'!#REF!/'18年合同登记表'!#REF!</f>
        <v>#REF!</v>
      </c>
      <c r="I107" s="122" t="e">
        <f>客服部最终提成计算表!$X109*0.15*0.8*0.02*'18年合同登记表'!#REF!/'18年合同登记表'!#REF!</f>
        <v>#REF!</v>
      </c>
      <c r="J107" s="122" t="e">
        <f>客服部最终提成计算表!$X109*0.15*0.8*0.85*'18年合同登记表'!#REF!/'18年合同登记表'!#REF!</f>
        <v>#REF!</v>
      </c>
      <c r="K107" s="122" t="e">
        <f>客服部最终提成计算表!$X109*0.15*0.8*0.08*'18年合同登记表'!#REF!/'18年合同登记表'!#REF!</f>
        <v>#REF!</v>
      </c>
      <c r="L107" s="122" t="e">
        <f>客服部最终提成计算表!$X109*0.15*0.8*0.05*'18年合同登记表'!#REF!/'18年合同登记表'!#REF!</f>
        <v>#REF!</v>
      </c>
      <c r="M107" s="122" t="e">
        <f>客服部最终提成计算表!$X109*0.15*0.8*0.02*'18年合同登记表'!#REF!/'18年合同登记表'!#REF!</f>
        <v>#REF!</v>
      </c>
      <c r="N107" s="122" t="e">
        <f>客服部最终提成计算表!$X109*0.15*0.8*0.85*'18年合同登记表'!#REF!/'18年合同登记表'!#REF!</f>
        <v>#REF!</v>
      </c>
      <c r="O107" s="122" t="e">
        <f>客服部最终提成计算表!$X109*0.15*0.8*0.08*'18年合同登记表'!#REF!/'18年合同登记表'!#REF!</f>
        <v>#REF!</v>
      </c>
      <c r="P107" s="122" t="e">
        <f>客服部最终提成计算表!$X109*0.15*0.8*0.05*'18年合同登记表'!#REF!/'18年合同登记表'!#REF!</f>
        <v>#REF!</v>
      </c>
      <c r="Q107" s="122" t="e">
        <f>客服部最终提成计算表!$X109*0.15*0.8*0.02*'18年合同登记表'!#REF!/'18年合同登记表'!#REF!</f>
        <v>#REF!</v>
      </c>
      <c r="R107" s="122" t="e">
        <f>客服部最终提成计算表!$X109*0.15*0.8*0.85*'18年合同登记表'!#REF!/'18年合同登记表'!#REF!</f>
        <v>#REF!</v>
      </c>
      <c r="S107" s="122" t="e">
        <f>客服部最终提成计算表!$X109*0.15*0.8*0.08*'18年合同登记表'!#REF!/'18年合同登记表'!#REF!</f>
        <v>#REF!</v>
      </c>
      <c r="T107" s="122" t="e">
        <f>客服部最终提成计算表!$X109*0.15*0.8*0.05*'18年合同登记表'!#REF!/'18年合同登记表'!#REF!</f>
        <v>#REF!</v>
      </c>
      <c r="U107" s="122" t="e">
        <f>客服部最终提成计算表!$X109*0.15*0.8*0.02*'18年合同登记表'!#REF!/'18年合同登记表'!#REF!</f>
        <v>#REF!</v>
      </c>
      <c r="V107" s="122" t="e">
        <f>客服部最终提成计算表!$X109*0.15*0.8*0.85*'18年合同登记表'!#REF!/'18年合同登记表'!#REF!</f>
        <v>#REF!</v>
      </c>
      <c r="W107" s="122" t="e">
        <f>客服部最终提成计算表!$X109*0.15*0.8*0.08*'18年合同登记表'!#REF!/'18年合同登记表'!#REF!</f>
        <v>#REF!</v>
      </c>
      <c r="X107" s="122" t="e">
        <f>客服部最终提成计算表!$X109*0.15*0.8*0.05*'18年合同登记表'!#REF!/'18年合同登记表'!#REF!</f>
        <v>#REF!</v>
      </c>
      <c r="Y107" s="122" t="e">
        <f>客服部最终提成计算表!$X109*0.15*0.8*0.02*'18年合同登记表'!#REF!/'18年合同登记表'!#REF!</f>
        <v>#REF!</v>
      </c>
      <c r="Z107" s="122" t="e">
        <f>客服部最终提成计算表!$X109*0.15*0.8*0.85*'18年合同登记表'!#REF!/'18年合同登记表'!#REF!</f>
        <v>#REF!</v>
      </c>
      <c r="AA107" s="122" t="e">
        <f>客服部最终提成计算表!$X109*0.15*0.8*0.08*'18年合同登记表'!#REF!/'18年合同登记表'!#REF!</f>
        <v>#REF!</v>
      </c>
      <c r="AB107" s="122" t="e">
        <f>客服部最终提成计算表!$X109*0.15*0.8*0.05*'18年合同登记表'!#REF!/'18年合同登记表'!#REF!</f>
        <v>#REF!</v>
      </c>
      <c r="AC107" s="122" t="e">
        <f>客服部最终提成计算表!$X109*0.15*0.8*0.02*'18年合同登记表'!#REF!/'18年合同登记表'!#REF!</f>
        <v>#REF!</v>
      </c>
      <c r="AD107" s="122" t="e">
        <f>客服部最终提成计算表!$X109*0.15*0.8*0.85*'18年合同登记表'!#REF!/'18年合同登记表'!#REF!</f>
        <v>#REF!</v>
      </c>
      <c r="AE107" s="122" t="e">
        <f>客服部最终提成计算表!$X109*0.15*0.8*0.08*'18年合同登记表'!#REF!/'18年合同登记表'!#REF!</f>
        <v>#REF!</v>
      </c>
      <c r="AF107" s="122" t="e">
        <f>客服部最终提成计算表!$X109*0.15*0.8*0.05*'18年合同登记表'!#REF!/'18年合同登记表'!#REF!</f>
        <v>#REF!</v>
      </c>
      <c r="AG107" s="122" t="e">
        <f>客服部最终提成计算表!$X109*0.15*0.8*0.02*'18年合同登记表'!#REF!/'18年合同登记表'!#REF!</f>
        <v>#REF!</v>
      </c>
      <c r="AH107" s="122" t="e">
        <f>客服部最终提成计算表!$X109*0.15*0.8*0.85*'18年合同登记表'!#REF!/'18年合同登记表'!#REF!</f>
        <v>#REF!</v>
      </c>
      <c r="AI107" s="122" t="e">
        <f>客服部最终提成计算表!$X109*0.15*0.8*0.08*'18年合同登记表'!#REF!/'18年合同登记表'!#REF!</f>
        <v>#REF!</v>
      </c>
      <c r="AJ107" s="122" t="e">
        <f>客服部最终提成计算表!$X109*0.15*0.8*0.05*'18年合同登记表'!#REF!/'18年合同登记表'!#REF!</f>
        <v>#REF!</v>
      </c>
      <c r="AK107" s="122" t="e">
        <f>客服部最终提成计算表!$X109*0.15*0.8*0.02*'18年合同登记表'!#REF!/'18年合同登记表'!#REF!</f>
        <v>#REF!</v>
      </c>
      <c r="AL107" s="122" t="e">
        <f>客服部最终提成计算表!$X109*0.15*0.8*0.85*'18年合同登记表'!#REF!/'18年合同登记表'!#REF!</f>
        <v>#REF!</v>
      </c>
      <c r="AM107" s="122" t="e">
        <f>客服部最终提成计算表!$X109*0.15*0.8*0.08*'18年合同登记表'!#REF!/'18年合同登记表'!#REF!</f>
        <v>#REF!</v>
      </c>
      <c r="AN107" s="122" t="e">
        <f>客服部最终提成计算表!$X109*0.15*0.8*0.05*'18年合同登记表'!#REF!/'18年合同登记表'!#REF!</f>
        <v>#REF!</v>
      </c>
      <c r="AO107" s="122" t="e">
        <f>客服部最终提成计算表!$X109*0.15*0.8*0.02*'18年合同登记表'!#REF!/'18年合同登记表'!#REF!</f>
        <v>#REF!</v>
      </c>
      <c r="AP107" s="122" t="e">
        <f>客服部最终提成计算表!$X109*0.15*0.8*0.85*'18年合同登记表'!#REF!/'18年合同登记表'!#REF!</f>
        <v>#REF!</v>
      </c>
      <c r="AQ107" s="122" t="e">
        <f>客服部最终提成计算表!$X109*0.15*0.8*0.08*'18年合同登记表'!#REF!/'18年合同登记表'!#REF!</f>
        <v>#REF!</v>
      </c>
      <c r="AR107" s="122" t="e">
        <f>客服部最终提成计算表!$X109*0.15*0.8*0.05*'18年合同登记表'!#REF!/'18年合同登记表'!#REF!</f>
        <v>#REF!</v>
      </c>
      <c r="AS107" s="122" t="e">
        <f>客服部最终提成计算表!$X109*0.15*0.8*0.02*'18年合同登记表'!#REF!/'18年合同登记表'!#REF!</f>
        <v>#REF!</v>
      </c>
      <c r="AT107" s="122" t="e">
        <f>客服部最终提成计算表!$X109*0.15*0.8*0.85*'18年合同登记表'!#REF!/'18年合同登记表'!#REF!</f>
        <v>#REF!</v>
      </c>
      <c r="AU107" s="122" t="e">
        <f>客服部最终提成计算表!$X109*0.15*0.8*0.08*'18年合同登记表'!#REF!/'18年合同登记表'!#REF!</f>
        <v>#REF!</v>
      </c>
      <c r="AV107" s="122" t="e">
        <f>客服部最终提成计算表!$X109*0.15*0.8*0.05*'18年合同登记表'!#REF!/'18年合同登记表'!#REF!</f>
        <v>#REF!</v>
      </c>
      <c r="AW107" s="122" t="e">
        <f>客服部最终提成计算表!$X109*0.15*0.8*0.02*'18年合同登记表'!#REF!/'18年合同登记表'!#REF!</f>
        <v>#REF!</v>
      </c>
      <c r="AX107" s="122" t="e">
        <f>客服部最终提成计算表!$X109*0.15*0.8*0.85*'18年合同登记表'!#REF!/'18年合同登记表'!#REF!</f>
        <v>#REF!</v>
      </c>
      <c r="AY107" s="122" t="e">
        <f>客服部最终提成计算表!$X109*0.15*0.8*0.08*'18年合同登记表'!#REF!/'18年合同登记表'!#REF!</f>
        <v>#REF!</v>
      </c>
      <c r="AZ107" s="122" t="e">
        <f>客服部最终提成计算表!$X109*0.15*0.8*0.05*'18年合同登记表'!#REF!/'18年合同登记表'!#REF!</f>
        <v>#REF!</v>
      </c>
      <c r="BA107" s="131" t="e">
        <f>客服部最终提成计算表!$X109*0.15*0.8*0.02*'18年合同登记表'!#REF!/'18年合同登记表'!#REF!</f>
        <v>#REF!</v>
      </c>
    </row>
    <row r="108" s="104" customFormat="1" ht="14.25" spans="1:53">
      <c r="A108" s="117"/>
      <c r="B108" s="118" t="e">
        <f>'18年合同登记表'!#REF!</f>
        <v>#REF!</v>
      </c>
      <c r="C108" s="119" t="e">
        <f>'18年合同登记表'!#REF!</f>
        <v>#REF!</v>
      </c>
      <c r="D108" s="119" t="e">
        <f>'18年合同登记表'!#REF!</f>
        <v>#REF!</v>
      </c>
      <c r="E108" s="120" t="e">
        <f>'18年合同登记表'!#REF!</f>
        <v>#REF!</v>
      </c>
      <c r="F108" s="121" t="e">
        <f>客服部最终提成计算表!$X110*0.15*0.8*0.85*'18年合同登记表'!#REF!/'18年合同登记表'!#REF!</f>
        <v>#REF!</v>
      </c>
      <c r="G108" s="122" t="e">
        <f>客服部最终提成计算表!$X110*0.15*0.8*0.08*'18年合同登记表'!#REF!/'18年合同登记表'!#REF!</f>
        <v>#REF!</v>
      </c>
      <c r="H108" s="122" t="e">
        <f>客服部最终提成计算表!$X110*0.15*0.8*0.05*'18年合同登记表'!#REF!/'18年合同登记表'!#REF!</f>
        <v>#REF!</v>
      </c>
      <c r="I108" s="122" t="e">
        <f>客服部最终提成计算表!$X110*0.15*0.8*0.02*'18年合同登记表'!#REF!/'18年合同登记表'!#REF!</f>
        <v>#REF!</v>
      </c>
      <c r="J108" s="122" t="e">
        <f>客服部最终提成计算表!$X110*0.15*0.8*0.85*'18年合同登记表'!#REF!/'18年合同登记表'!#REF!</f>
        <v>#REF!</v>
      </c>
      <c r="K108" s="122" t="e">
        <f>客服部最终提成计算表!$X110*0.15*0.8*0.08*'18年合同登记表'!#REF!/'18年合同登记表'!#REF!</f>
        <v>#REF!</v>
      </c>
      <c r="L108" s="122" t="e">
        <f>客服部最终提成计算表!$X110*0.15*0.8*0.05*'18年合同登记表'!#REF!/'18年合同登记表'!#REF!</f>
        <v>#REF!</v>
      </c>
      <c r="M108" s="122" t="e">
        <f>客服部最终提成计算表!$X110*0.15*0.8*0.02*'18年合同登记表'!#REF!/'18年合同登记表'!#REF!</f>
        <v>#REF!</v>
      </c>
      <c r="N108" s="122" t="e">
        <f>客服部最终提成计算表!$X110*0.15*0.8*0.85*'18年合同登记表'!#REF!/'18年合同登记表'!#REF!</f>
        <v>#REF!</v>
      </c>
      <c r="O108" s="122" t="e">
        <f>客服部最终提成计算表!$X110*0.15*0.8*0.08*'18年合同登记表'!#REF!/'18年合同登记表'!#REF!</f>
        <v>#REF!</v>
      </c>
      <c r="P108" s="122" t="e">
        <f>客服部最终提成计算表!$X110*0.15*0.8*0.05*'18年合同登记表'!#REF!/'18年合同登记表'!#REF!</f>
        <v>#REF!</v>
      </c>
      <c r="Q108" s="122" t="e">
        <f>客服部最终提成计算表!$X110*0.15*0.8*0.02*'18年合同登记表'!#REF!/'18年合同登记表'!#REF!</f>
        <v>#REF!</v>
      </c>
      <c r="R108" s="122" t="e">
        <f>客服部最终提成计算表!$X110*0.15*0.8*0.85*'18年合同登记表'!#REF!/'18年合同登记表'!#REF!</f>
        <v>#REF!</v>
      </c>
      <c r="S108" s="122" t="e">
        <f>客服部最终提成计算表!$X110*0.15*0.8*0.08*'18年合同登记表'!#REF!/'18年合同登记表'!#REF!</f>
        <v>#REF!</v>
      </c>
      <c r="T108" s="122" t="e">
        <f>客服部最终提成计算表!$X110*0.15*0.8*0.05*'18年合同登记表'!#REF!/'18年合同登记表'!#REF!</f>
        <v>#REF!</v>
      </c>
      <c r="U108" s="122" t="e">
        <f>客服部最终提成计算表!$X110*0.15*0.8*0.02*'18年合同登记表'!#REF!/'18年合同登记表'!#REF!</f>
        <v>#REF!</v>
      </c>
      <c r="V108" s="122" t="e">
        <f>客服部最终提成计算表!$X110*0.15*0.8*0.85*'18年合同登记表'!#REF!/'18年合同登记表'!#REF!</f>
        <v>#REF!</v>
      </c>
      <c r="W108" s="122" t="e">
        <f>客服部最终提成计算表!$X110*0.15*0.8*0.08*'18年合同登记表'!#REF!/'18年合同登记表'!#REF!</f>
        <v>#REF!</v>
      </c>
      <c r="X108" s="122" t="e">
        <f>客服部最终提成计算表!$X110*0.15*0.8*0.05*'18年合同登记表'!#REF!/'18年合同登记表'!#REF!</f>
        <v>#REF!</v>
      </c>
      <c r="Y108" s="122" t="e">
        <f>客服部最终提成计算表!$X110*0.15*0.8*0.02*'18年合同登记表'!#REF!/'18年合同登记表'!#REF!</f>
        <v>#REF!</v>
      </c>
      <c r="Z108" s="122" t="e">
        <f>客服部最终提成计算表!$X110*0.15*0.8*0.85*'18年合同登记表'!#REF!/'18年合同登记表'!#REF!</f>
        <v>#REF!</v>
      </c>
      <c r="AA108" s="122" t="e">
        <f>客服部最终提成计算表!$X110*0.15*0.8*0.08*'18年合同登记表'!#REF!/'18年合同登记表'!#REF!</f>
        <v>#REF!</v>
      </c>
      <c r="AB108" s="122" t="e">
        <f>客服部最终提成计算表!$X110*0.15*0.8*0.05*'18年合同登记表'!#REF!/'18年合同登记表'!#REF!</f>
        <v>#REF!</v>
      </c>
      <c r="AC108" s="122" t="e">
        <f>客服部最终提成计算表!$X110*0.15*0.8*0.02*'18年合同登记表'!#REF!/'18年合同登记表'!#REF!</f>
        <v>#REF!</v>
      </c>
      <c r="AD108" s="122" t="e">
        <f>客服部最终提成计算表!$X110*0.15*0.8*0.85*'18年合同登记表'!#REF!/'18年合同登记表'!#REF!</f>
        <v>#REF!</v>
      </c>
      <c r="AE108" s="122" t="e">
        <f>客服部最终提成计算表!$X110*0.15*0.8*0.08*'18年合同登记表'!#REF!/'18年合同登记表'!#REF!</f>
        <v>#REF!</v>
      </c>
      <c r="AF108" s="122" t="e">
        <f>客服部最终提成计算表!$X110*0.15*0.8*0.05*'18年合同登记表'!#REF!/'18年合同登记表'!#REF!</f>
        <v>#REF!</v>
      </c>
      <c r="AG108" s="122" t="e">
        <f>客服部最终提成计算表!$X110*0.15*0.8*0.02*'18年合同登记表'!#REF!/'18年合同登记表'!#REF!</f>
        <v>#REF!</v>
      </c>
      <c r="AH108" s="122" t="e">
        <f>客服部最终提成计算表!$X110*0.15*0.8*0.85*'18年合同登记表'!#REF!/'18年合同登记表'!#REF!</f>
        <v>#REF!</v>
      </c>
      <c r="AI108" s="122" t="e">
        <f>客服部最终提成计算表!$X110*0.15*0.8*0.08*'18年合同登记表'!#REF!/'18年合同登记表'!#REF!</f>
        <v>#REF!</v>
      </c>
      <c r="AJ108" s="122" t="e">
        <f>客服部最终提成计算表!$X110*0.15*0.8*0.05*'18年合同登记表'!#REF!/'18年合同登记表'!#REF!</f>
        <v>#REF!</v>
      </c>
      <c r="AK108" s="122" t="e">
        <f>客服部最终提成计算表!$X110*0.15*0.8*0.02*'18年合同登记表'!#REF!/'18年合同登记表'!#REF!</f>
        <v>#REF!</v>
      </c>
      <c r="AL108" s="122" t="e">
        <f>客服部最终提成计算表!$X110*0.15*0.8*0.85*'18年合同登记表'!#REF!/'18年合同登记表'!#REF!</f>
        <v>#REF!</v>
      </c>
      <c r="AM108" s="122" t="e">
        <f>客服部最终提成计算表!$X110*0.15*0.8*0.08*'18年合同登记表'!#REF!/'18年合同登记表'!#REF!</f>
        <v>#REF!</v>
      </c>
      <c r="AN108" s="122" t="e">
        <f>客服部最终提成计算表!$X110*0.15*0.8*0.05*'18年合同登记表'!#REF!/'18年合同登记表'!#REF!</f>
        <v>#REF!</v>
      </c>
      <c r="AO108" s="122" t="e">
        <f>客服部最终提成计算表!$X110*0.15*0.8*0.02*'18年合同登记表'!#REF!/'18年合同登记表'!#REF!</f>
        <v>#REF!</v>
      </c>
      <c r="AP108" s="122" t="e">
        <f>客服部最终提成计算表!$X110*0.15*0.8*0.85*'18年合同登记表'!#REF!/'18年合同登记表'!#REF!</f>
        <v>#REF!</v>
      </c>
      <c r="AQ108" s="122" t="e">
        <f>客服部最终提成计算表!$X110*0.15*0.8*0.08*'18年合同登记表'!#REF!/'18年合同登记表'!#REF!</f>
        <v>#REF!</v>
      </c>
      <c r="AR108" s="122" t="e">
        <f>客服部最终提成计算表!$X110*0.15*0.8*0.05*'18年合同登记表'!#REF!/'18年合同登记表'!#REF!</f>
        <v>#REF!</v>
      </c>
      <c r="AS108" s="122" t="e">
        <f>客服部最终提成计算表!$X110*0.15*0.8*0.02*'18年合同登记表'!#REF!/'18年合同登记表'!#REF!</f>
        <v>#REF!</v>
      </c>
      <c r="AT108" s="122" t="e">
        <f>客服部最终提成计算表!$X110*0.15*0.8*0.85*'18年合同登记表'!#REF!/'18年合同登记表'!#REF!</f>
        <v>#REF!</v>
      </c>
      <c r="AU108" s="122" t="e">
        <f>客服部最终提成计算表!$X110*0.15*0.8*0.08*'18年合同登记表'!#REF!/'18年合同登记表'!#REF!</f>
        <v>#REF!</v>
      </c>
      <c r="AV108" s="122" t="e">
        <f>客服部最终提成计算表!$X110*0.15*0.8*0.05*'18年合同登记表'!#REF!/'18年合同登记表'!#REF!</f>
        <v>#REF!</v>
      </c>
      <c r="AW108" s="122" t="e">
        <f>客服部最终提成计算表!$X110*0.15*0.8*0.02*'18年合同登记表'!#REF!/'18年合同登记表'!#REF!</f>
        <v>#REF!</v>
      </c>
      <c r="AX108" s="122" t="e">
        <f>客服部最终提成计算表!$X110*0.15*0.8*0.85*'18年合同登记表'!#REF!/'18年合同登记表'!#REF!</f>
        <v>#REF!</v>
      </c>
      <c r="AY108" s="122" t="e">
        <f>客服部最终提成计算表!$X110*0.15*0.8*0.08*'18年合同登记表'!#REF!/'18年合同登记表'!#REF!</f>
        <v>#REF!</v>
      </c>
      <c r="AZ108" s="122" t="e">
        <f>客服部最终提成计算表!$X110*0.15*0.8*0.05*'18年合同登记表'!#REF!/'18年合同登记表'!#REF!</f>
        <v>#REF!</v>
      </c>
      <c r="BA108" s="131" t="e">
        <f>客服部最终提成计算表!$X110*0.15*0.8*0.02*'18年合同登记表'!#REF!/'18年合同登记表'!#REF!</f>
        <v>#REF!</v>
      </c>
    </row>
    <row r="109" s="104" customFormat="1" ht="14.25" spans="1:53">
      <c r="A109" s="117"/>
      <c r="B109" s="118" t="e">
        <f>'18年合同登记表'!#REF!</f>
        <v>#REF!</v>
      </c>
      <c r="C109" s="119" t="e">
        <f>'18年合同登记表'!#REF!</f>
        <v>#REF!</v>
      </c>
      <c r="D109" s="119" t="e">
        <f>'18年合同登记表'!#REF!</f>
        <v>#REF!</v>
      </c>
      <c r="E109" s="120" t="e">
        <f>'18年合同登记表'!#REF!</f>
        <v>#REF!</v>
      </c>
      <c r="F109" s="121" t="e">
        <f>客服部最终提成计算表!$X111*0.15*0.8*0.85*'18年合同登记表'!#REF!/'18年合同登记表'!#REF!</f>
        <v>#REF!</v>
      </c>
      <c r="G109" s="122" t="e">
        <f>客服部最终提成计算表!$X111*0.15*0.8*0.08*'18年合同登记表'!#REF!/'18年合同登记表'!#REF!</f>
        <v>#REF!</v>
      </c>
      <c r="H109" s="122" t="e">
        <f>客服部最终提成计算表!$X111*0.15*0.8*0.05*'18年合同登记表'!#REF!/'18年合同登记表'!#REF!</f>
        <v>#REF!</v>
      </c>
      <c r="I109" s="122" t="e">
        <f>客服部最终提成计算表!$X111*0.15*0.8*0.02*'18年合同登记表'!#REF!/'18年合同登记表'!#REF!</f>
        <v>#REF!</v>
      </c>
      <c r="J109" s="122" t="e">
        <f>客服部最终提成计算表!$X111*0.15*0.8*0.85*'18年合同登记表'!#REF!/'18年合同登记表'!#REF!</f>
        <v>#REF!</v>
      </c>
      <c r="K109" s="122" t="e">
        <f>客服部最终提成计算表!$X111*0.15*0.8*0.08*'18年合同登记表'!#REF!/'18年合同登记表'!#REF!</f>
        <v>#REF!</v>
      </c>
      <c r="L109" s="122" t="e">
        <f>客服部最终提成计算表!$X111*0.15*0.8*0.05*'18年合同登记表'!#REF!/'18年合同登记表'!#REF!</f>
        <v>#REF!</v>
      </c>
      <c r="M109" s="122" t="e">
        <f>客服部最终提成计算表!$X111*0.15*0.8*0.02*'18年合同登记表'!#REF!/'18年合同登记表'!#REF!</f>
        <v>#REF!</v>
      </c>
      <c r="N109" s="122" t="e">
        <f>客服部最终提成计算表!$X111*0.15*0.8*0.85*'18年合同登记表'!#REF!/'18年合同登记表'!#REF!</f>
        <v>#REF!</v>
      </c>
      <c r="O109" s="122" t="e">
        <f>客服部最终提成计算表!$X111*0.15*0.8*0.08*'18年合同登记表'!#REF!/'18年合同登记表'!#REF!</f>
        <v>#REF!</v>
      </c>
      <c r="P109" s="122" t="e">
        <f>客服部最终提成计算表!$X111*0.15*0.8*0.05*'18年合同登记表'!#REF!/'18年合同登记表'!#REF!</f>
        <v>#REF!</v>
      </c>
      <c r="Q109" s="122" t="e">
        <f>客服部最终提成计算表!$X111*0.15*0.8*0.02*'18年合同登记表'!#REF!/'18年合同登记表'!#REF!</f>
        <v>#REF!</v>
      </c>
      <c r="R109" s="122" t="e">
        <f>客服部最终提成计算表!$X111*0.15*0.8*0.85*'18年合同登记表'!#REF!/'18年合同登记表'!#REF!</f>
        <v>#REF!</v>
      </c>
      <c r="S109" s="122" t="e">
        <f>客服部最终提成计算表!$X111*0.15*0.8*0.08*'18年合同登记表'!#REF!/'18年合同登记表'!#REF!</f>
        <v>#REF!</v>
      </c>
      <c r="T109" s="122" t="e">
        <f>客服部最终提成计算表!$X111*0.15*0.8*0.05*'18年合同登记表'!#REF!/'18年合同登记表'!#REF!</f>
        <v>#REF!</v>
      </c>
      <c r="U109" s="122" t="e">
        <f>客服部最终提成计算表!$X111*0.15*0.8*0.02*'18年合同登记表'!#REF!/'18年合同登记表'!#REF!</f>
        <v>#REF!</v>
      </c>
      <c r="V109" s="122" t="e">
        <f>客服部最终提成计算表!$X111*0.15*0.8*0.85*'18年合同登记表'!#REF!/'18年合同登记表'!#REF!</f>
        <v>#REF!</v>
      </c>
      <c r="W109" s="122" t="e">
        <f>客服部最终提成计算表!$X111*0.15*0.8*0.08*'18年合同登记表'!#REF!/'18年合同登记表'!#REF!</f>
        <v>#REF!</v>
      </c>
      <c r="X109" s="122" t="e">
        <f>客服部最终提成计算表!$X111*0.15*0.8*0.05*'18年合同登记表'!#REF!/'18年合同登记表'!#REF!</f>
        <v>#REF!</v>
      </c>
      <c r="Y109" s="122" t="e">
        <f>客服部最终提成计算表!$X111*0.15*0.8*0.02*'18年合同登记表'!#REF!/'18年合同登记表'!#REF!</f>
        <v>#REF!</v>
      </c>
      <c r="Z109" s="122" t="e">
        <f>客服部最终提成计算表!$X111*0.15*0.8*0.85*'18年合同登记表'!#REF!/'18年合同登记表'!#REF!</f>
        <v>#REF!</v>
      </c>
      <c r="AA109" s="122" t="e">
        <f>客服部最终提成计算表!$X111*0.15*0.8*0.08*'18年合同登记表'!#REF!/'18年合同登记表'!#REF!</f>
        <v>#REF!</v>
      </c>
      <c r="AB109" s="122" t="e">
        <f>客服部最终提成计算表!$X111*0.15*0.8*0.05*'18年合同登记表'!#REF!/'18年合同登记表'!#REF!</f>
        <v>#REF!</v>
      </c>
      <c r="AC109" s="122" t="e">
        <f>客服部最终提成计算表!$X111*0.15*0.8*0.02*'18年合同登记表'!#REF!/'18年合同登记表'!#REF!</f>
        <v>#REF!</v>
      </c>
      <c r="AD109" s="122" t="e">
        <f>客服部最终提成计算表!$X111*0.15*0.8*0.85*'18年合同登记表'!#REF!/'18年合同登记表'!#REF!</f>
        <v>#REF!</v>
      </c>
      <c r="AE109" s="122" t="e">
        <f>客服部最终提成计算表!$X111*0.15*0.8*0.08*'18年合同登记表'!#REF!/'18年合同登记表'!#REF!</f>
        <v>#REF!</v>
      </c>
      <c r="AF109" s="122" t="e">
        <f>客服部最终提成计算表!$X111*0.15*0.8*0.05*'18年合同登记表'!#REF!/'18年合同登记表'!#REF!</f>
        <v>#REF!</v>
      </c>
      <c r="AG109" s="122" t="e">
        <f>客服部最终提成计算表!$X111*0.15*0.8*0.02*'18年合同登记表'!#REF!/'18年合同登记表'!#REF!</f>
        <v>#REF!</v>
      </c>
      <c r="AH109" s="122" t="e">
        <f>客服部最终提成计算表!$X111*0.15*0.8*0.85*'18年合同登记表'!#REF!/'18年合同登记表'!#REF!</f>
        <v>#REF!</v>
      </c>
      <c r="AI109" s="122" t="e">
        <f>客服部最终提成计算表!$X111*0.15*0.8*0.08*'18年合同登记表'!#REF!/'18年合同登记表'!#REF!</f>
        <v>#REF!</v>
      </c>
      <c r="AJ109" s="122" t="e">
        <f>客服部最终提成计算表!$X111*0.15*0.8*0.05*'18年合同登记表'!#REF!/'18年合同登记表'!#REF!</f>
        <v>#REF!</v>
      </c>
      <c r="AK109" s="122" t="e">
        <f>客服部最终提成计算表!$X111*0.15*0.8*0.02*'18年合同登记表'!#REF!/'18年合同登记表'!#REF!</f>
        <v>#REF!</v>
      </c>
      <c r="AL109" s="122" t="e">
        <f>客服部最终提成计算表!$X111*0.15*0.8*0.85*'18年合同登记表'!#REF!/'18年合同登记表'!#REF!</f>
        <v>#REF!</v>
      </c>
      <c r="AM109" s="122" t="e">
        <f>客服部最终提成计算表!$X111*0.15*0.8*0.08*'18年合同登记表'!#REF!/'18年合同登记表'!#REF!</f>
        <v>#REF!</v>
      </c>
      <c r="AN109" s="122" t="e">
        <f>客服部最终提成计算表!$X111*0.15*0.8*0.05*'18年合同登记表'!#REF!/'18年合同登记表'!#REF!</f>
        <v>#REF!</v>
      </c>
      <c r="AO109" s="122" t="e">
        <f>客服部最终提成计算表!$X111*0.15*0.8*0.02*'18年合同登记表'!#REF!/'18年合同登记表'!#REF!</f>
        <v>#REF!</v>
      </c>
      <c r="AP109" s="122" t="e">
        <f>客服部最终提成计算表!$X111*0.15*0.8*0.85*'18年合同登记表'!#REF!/'18年合同登记表'!#REF!</f>
        <v>#REF!</v>
      </c>
      <c r="AQ109" s="122" t="e">
        <f>客服部最终提成计算表!$X111*0.15*0.8*0.08*'18年合同登记表'!#REF!/'18年合同登记表'!#REF!</f>
        <v>#REF!</v>
      </c>
      <c r="AR109" s="122" t="e">
        <f>客服部最终提成计算表!$X111*0.15*0.8*0.05*'18年合同登记表'!#REF!/'18年合同登记表'!#REF!</f>
        <v>#REF!</v>
      </c>
      <c r="AS109" s="122" t="e">
        <f>客服部最终提成计算表!$X111*0.15*0.8*0.02*'18年合同登记表'!#REF!/'18年合同登记表'!#REF!</f>
        <v>#REF!</v>
      </c>
      <c r="AT109" s="122" t="e">
        <f>客服部最终提成计算表!$X111*0.15*0.8*0.85*'18年合同登记表'!#REF!/'18年合同登记表'!#REF!</f>
        <v>#REF!</v>
      </c>
      <c r="AU109" s="122" t="e">
        <f>客服部最终提成计算表!$X111*0.15*0.8*0.08*'18年合同登记表'!#REF!/'18年合同登记表'!#REF!</f>
        <v>#REF!</v>
      </c>
      <c r="AV109" s="122" t="e">
        <f>客服部最终提成计算表!$X111*0.15*0.8*0.05*'18年合同登记表'!#REF!/'18年合同登记表'!#REF!</f>
        <v>#REF!</v>
      </c>
      <c r="AW109" s="122" t="e">
        <f>客服部最终提成计算表!$X111*0.15*0.8*0.02*'18年合同登记表'!#REF!/'18年合同登记表'!#REF!</f>
        <v>#REF!</v>
      </c>
      <c r="AX109" s="122" t="e">
        <f>客服部最终提成计算表!$X111*0.15*0.8*0.85*'18年合同登记表'!#REF!/'18年合同登记表'!#REF!</f>
        <v>#REF!</v>
      </c>
      <c r="AY109" s="122" t="e">
        <f>客服部最终提成计算表!$X111*0.15*0.8*0.08*'18年合同登记表'!#REF!/'18年合同登记表'!#REF!</f>
        <v>#REF!</v>
      </c>
      <c r="AZ109" s="122" t="e">
        <f>客服部最终提成计算表!$X111*0.15*0.8*0.05*'18年合同登记表'!#REF!/'18年合同登记表'!#REF!</f>
        <v>#REF!</v>
      </c>
      <c r="BA109" s="131" t="e">
        <f>客服部最终提成计算表!$X111*0.15*0.8*0.02*'18年合同登记表'!#REF!/'18年合同登记表'!#REF!</f>
        <v>#REF!</v>
      </c>
    </row>
    <row r="110" s="104" customFormat="1" ht="14.25" spans="1:53">
      <c r="A110" s="123" t="s">
        <v>988</v>
      </c>
      <c r="B110" s="124">
        <f>'18年合同登记表'!F139</f>
        <v>0</v>
      </c>
      <c r="C110" s="125">
        <f>'18年合同登记表'!H139</f>
        <v>0</v>
      </c>
      <c r="D110" s="125">
        <f>'18年合同登记表'!I139</f>
        <v>0</v>
      </c>
      <c r="E110" s="126">
        <f>'18年合同登记表'!L139</f>
        <v>0</v>
      </c>
      <c r="F110" s="127" t="e">
        <f>SUM(F102:F109)</f>
        <v>#REF!</v>
      </c>
      <c r="G110" s="128" t="e">
        <f>客服部最终提成计算表!$X112*0.15*0.8*0.08*'18年合同登记表'!T139/'18年合同登记表'!$M139</f>
        <v>#REF!</v>
      </c>
      <c r="H110" s="128" t="e">
        <f>客服部最终提成计算表!$X112*0.15*0.8*0.05*'18年合同登记表'!T139/'18年合同登记表'!$M139</f>
        <v>#REF!</v>
      </c>
      <c r="I110" s="128" t="e">
        <f>客服部最终提成计算表!$X112*0.15*0.8*0.02*'18年合同登记表'!T139/'18年合同登记表'!$M139</f>
        <v>#REF!</v>
      </c>
      <c r="J110" s="128" t="e">
        <f>客服部最终提成计算表!$X112*0.15*0.8*0.85*'18年合同登记表'!V139/'18年合同登记表'!$M139</f>
        <v>#REF!</v>
      </c>
      <c r="K110" s="128" t="e">
        <f>客服部最终提成计算表!$X112*0.15*0.8*0.08*'18年合同登记表'!V139/'18年合同登记表'!$M139</f>
        <v>#REF!</v>
      </c>
      <c r="L110" s="128" t="e">
        <f>客服部最终提成计算表!$X112*0.15*0.8*0.05*'18年合同登记表'!V139/'18年合同登记表'!$M139</f>
        <v>#REF!</v>
      </c>
      <c r="M110" s="128" t="e">
        <f>客服部最终提成计算表!$X112*0.15*0.8*0.02*'18年合同登记表'!V139/'18年合同登记表'!$M139</f>
        <v>#REF!</v>
      </c>
      <c r="N110" s="128" t="e">
        <f>客服部最终提成计算表!$X112*0.15*0.8*0.85*'18年合同登记表'!X139/'18年合同登记表'!$M139</f>
        <v>#REF!</v>
      </c>
      <c r="O110" s="128" t="e">
        <f>客服部最终提成计算表!$X112*0.15*0.8*0.08*'18年合同登记表'!X139/'18年合同登记表'!$M139</f>
        <v>#REF!</v>
      </c>
      <c r="P110" s="128" t="e">
        <f>客服部最终提成计算表!$X112*0.15*0.8*0.05*'18年合同登记表'!X139/'18年合同登记表'!$M139</f>
        <v>#REF!</v>
      </c>
      <c r="Q110" s="128" t="e">
        <f>客服部最终提成计算表!$X112*0.15*0.8*0.02*'18年合同登记表'!X139/'18年合同登记表'!$M139</f>
        <v>#REF!</v>
      </c>
      <c r="R110" s="128" t="e">
        <f>客服部最终提成计算表!$X112*0.15*0.8*0.85*'18年合同登记表'!Z139/'18年合同登记表'!$M139</f>
        <v>#REF!</v>
      </c>
      <c r="S110" s="128" t="e">
        <f>客服部最终提成计算表!$X112*0.15*0.8*0.08*'18年合同登记表'!Z139/'18年合同登记表'!$M139</f>
        <v>#REF!</v>
      </c>
      <c r="T110" s="128" t="e">
        <f>客服部最终提成计算表!$X112*0.15*0.8*0.05*'18年合同登记表'!Z139/'18年合同登记表'!$M139</f>
        <v>#REF!</v>
      </c>
      <c r="U110" s="128" t="e">
        <f>客服部最终提成计算表!$X112*0.15*0.8*0.02*'18年合同登记表'!Z139/'18年合同登记表'!$M139</f>
        <v>#REF!</v>
      </c>
      <c r="V110" s="128" t="e">
        <f>客服部最终提成计算表!$X112*0.15*0.8*0.85*'18年合同登记表'!AB139/'18年合同登记表'!$M139</f>
        <v>#REF!</v>
      </c>
      <c r="W110" s="128" t="e">
        <f>客服部最终提成计算表!$X112*0.15*0.8*0.08*'18年合同登记表'!AB139/'18年合同登记表'!$M139</f>
        <v>#REF!</v>
      </c>
      <c r="X110" s="128" t="e">
        <f>客服部最终提成计算表!$X112*0.15*0.8*0.05*'18年合同登记表'!AB139/'18年合同登记表'!$M139</f>
        <v>#REF!</v>
      </c>
      <c r="Y110" s="128" t="e">
        <f>客服部最终提成计算表!$X112*0.15*0.8*0.02*'18年合同登记表'!AB139/'18年合同登记表'!$M139</f>
        <v>#REF!</v>
      </c>
      <c r="Z110" s="128" t="e">
        <f>客服部最终提成计算表!$X112*0.15*0.8*0.85*'18年合同登记表'!AD139/'18年合同登记表'!$M139</f>
        <v>#REF!</v>
      </c>
      <c r="AA110" s="128" t="e">
        <f>客服部最终提成计算表!$X112*0.15*0.8*0.08*'18年合同登记表'!AD139/'18年合同登记表'!$M139</f>
        <v>#REF!</v>
      </c>
      <c r="AB110" s="128" t="e">
        <f>客服部最终提成计算表!$X112*0.15*0.8*0.05*'18年合同登记表'!AD139/'18年合同登记表'!$M139</f>
        <v>#REF!</v>
      </c>
      <c r="AC110" s="128" t="e">
        <f>客服部最终提成计算表!$X112*0.15*0.8*0.02*'18年合同登记表'!AD139/'18年合同登记表'!$M139</f>
        <v>#REF!</v>
      </c>
      <c r="AD110" s="128" t="e">
        <f>客服部最终提成计算表!$X112*0.15*0.8*0.85*'18年合同登记表'!AF139/'18年合同登记表'!$M139</f>
        <v>#REF!</v>
      </c>
      <c r="AE110" s="128" t="e">
        <f>客服部最终提成计算表!$X112*0.15*0.8*0.08*'18年合同登记表'!AF139/'18年合同登记表'!$M139</f>
        <v>#REF!</v>
      </c>
      <c r="AF110" s="128" t="e">
        <f>客服部最终提成计算表!$X112*0.15*0.8*0.05*'18年合同登记表'!AF139/'18年合同登记表'!$M139</f>
        <v>#REF!</v>
      </c>
      <c r="AG110" s="128" t="e">
        <f>客服部最终提成计算表!$X112*0.15*0.8*0.02*'18年合同登记表'!AF139/'18年合同登记表'!$M139</f>
        <v>#REF!</v>
      </c>
      <c r="AH110" s="128" t="e">
        <f>客服部最终提成计算表!$X112*0.15*0.8*0.85*'18年合同登记表'!AH139/'18年合同登记表'!$M139</f>
        <v>#REF!</v>
      </c>
      <c r="AI110" s="128" t="e">
        <f>客服部最终提成计算表!$X112*0.15*0.8*0.08*'18年合同登记表'!AH139/'18年合同登记表'!$M139</f>
        <v>#REF!</v>
      </c>
      <c r="AJ110" s="128" t="e">
        <f>客服部最终提成计算表!$X112*0.15*0.8*0.05*'18年合同登记表'!AH139/'18年合同登记表'!$M139</f>
        <v>#REF!</v>
      </c>
      <c r="AK110" s="128" t="e">
        <f>客服部最终提成计算表!$X112*0.15*0.8*0.02*'18年合同登记表'!AH139/'18年合同登记表'!$M139</f>
        <v>#REF!</v>
      </c>
      <c r="AL110" s="128" t="e">
        <f>客服部最终提成计算表!$X112*0.15*0.8*0.85*'18年合同登记表'!AJ139/'18年合同登记表'!$M139</f>
        <v>#REF!</v>
      </c>
      <c r="AM110" s="128" t="e">
        <f>客服部最终提成计算表!$X112*0.15*0.8*0.08*'18年合同登记表'!AJ139/'18年合同登记表'!$M139</f>
        <v>#REF!</v>
      </c>
      <c r="AN110" s="128" t="e">
        <f>客服部最终提成计算表!$X112*0.15*0.8*0.05*'18年合同登记表'!AJ139/'18年合同登记表'!$M139</f>
        <v>#REF!</v>
      </c>
      <c r="AO110" s="128" t="e">
        <f>客服部最终提成计算表!$X112*0.15*0.8*0.02*'18年合同登记表'!AJ139/'18年合同登记表'!$M139</f>
        <v>#REF!</v>
      </c>
      <c r="AP110" s="128" t="e">
        <f>客服部最终提成计算表!$X112*0.15*0.8*0.85*'18年合同登记表'!AL139/'18年合同登记表'!$M139</f>
        <v>#REF!</v>
      </c>
      <c r="AQ110" s="128" t="e">
        <f>客服部最终提成计算表!$X112*0.15*0.8*0.08*'18年合同登记表'!AL139/'18年合同登记表'!$M139</f>
        <v>#REF!</v>
      </c>
      <c r="AR110" s="128" t="e">
        <f>客服部最终提成计算表!$X112*0.15*0.8*0.05*'18年合同登记表'!AL139/'18年合同登记表'!$M139</f>
        <v>#REF!</v>
      </c>
      <c r="AS110" s="128" t="e">
        <f>客服部最终提成计算表!$X112*0.15*0.8*0.02*'18年合同登记表'!AL139/'18年合同登记表'!$M139</f>
        <v>#REF!</v>
      </c>
      <c r="AT110" s="128" t="e">
        <f>客服部最终提成计算表!$X112*0.15*0.8*0.85*'18年合同登记表'!AN139/'18年合同登记表'!$M139</f>
        <v>#REF!</v>
      </c>
      <c r="AU110" s="128" t="e">
        <f>客服部最终提成计算表!$X112*0.15*0.8*0.08*'18年合同登记表'!AN139/'18年合同登记表'!$M139</f>
        <v>#REF!</v>
      </c>
      <c r="AV110" s="128" t="e">
        <f>客服部最终提成计算表!$X112*0.15*0.8*0.05*'18年合同登记表'!AN139/'18年合同登记表'!$M139</f>
        <v>#REF!</v>
      </c>
      <c r="AW110" s="128" t="e">
        <f>客服部最终提成计算表!$X112*0.15*0.8*0.02*'18年合同登记表'!AN139/'18年合同登记表'!$M139</f>
        <v>#REF!</v>
      </c>
      <c r="AX110" s="128" t="e">
        <f>客服部最终提成计算表!$X112*0.15*0.8*0.85*'18年合同登记表'!AP139/'18年合同登记表'!$M139</f>
        <v>#REF!</v>
      </c>
      <c r="AY110" s="128" t="e">
        <f>客服部最终提成计算表!$X112*0.15*0.8*0.08*'18年合同登记表'!AP139/'18年合同登记表'!$M139</f>
        <v>#REF!</v>
      </c>
      <c r="AZ110" s="128" t="e">
        <f>客服部最终提成计算表!$X112*0.15*0.8*0.05*'18年合同登记表'!AP139/'18年合同登记表'!$M139</f>
        <v>#REF!</v>
      </c>
      <c r="BA110" s="132" t="e">
        <f>客服部最终提成计算表!$X112*0.15*0.8*0.02*'18年合同登记表'!AP139/'18年合同登记表'!$M139</f>
        <v>#REF!</v>
      </c>
    </row>
    <row r="111" s="104" customFormat="1" ht="14.25" spans="1:53">
      <c r="A111" s="123" t="s">
        <v>989</v>
      </c>
      <c r="B111" s="124">
        <f>'18年合同登记表'!F140</f>
        <v>0</v>
      </c>
      <c r="C111" s="125">
        <f>'18年合同登记表'!H140</f>
        <v>0</v>
      </c>
      <c r="D111" s="125">
        <f>'18年合同登记表'!I140</f>
        <v>0</v>
      </c>
      <c r="E111" s="126">
        <f>'18年合同登记表'!L140</f>
        <v>0</v>
      </c>
      <c r="F111" s="127" t="e">
        <f>F101+F110</f>
        <v>#REF!</v>
      </c>
      <c r="G111" s="127" t="e">
        <f t="shared" ref="G111" si="284">G101+G110</f>
        <v>#REF!</v>
      </c>
      <c r="H111" s="127" t="e">
        <f t="shared" ref="H111" si="285">H101+H110</f>
        <v>#REF!</v>
      </c>
      <c r="I111" s="127" t="e">
        <f t="shared" ref="I111" si="286">I101+I110</f>
        <v>#REF!</v>
      </c>
      <c r="J111" s="127" t="e">
        <f t="shared" ref="J111" si="287">J101+J110</f>
        <v>#REF!</v>
      </c>
      <c r="K111" s="127" t="e">
        <f t="shared" ref="K111" si="288">K101+K110</f>
        <v>#REF!</v>
      </c>
      <c r="L111" s="127" t="e">
        <f t="shared" ref="L111" si="289">L101+L110</f>
        <v>#REF!</v>
      </c>
      <c r="M111" s="127" t="e">
        <f t="shared" ref="M111" si="290">M101+M110</f>
        <v>#REF!</v>
      </c>
      <c r="N111" s="127" t="e">
        <f t="shared" ref="N111" si="291">N101+N110</f>
        <v>#REF!</v>
      </c>
      <c r="O111" s="127" t="e">
        <f t="shared" ref="O111" si="292">O101+O110</f>
        <v>#REF!</v>
      </c>
      <c r="P111" s="127" t="e">
        <f t="shared" ref="P111" si="293">P101+P110</f>
        <v>#REF!</v>
      </c>
      <c r="Q111" s="127" t="e">
        <f t="shared" ref="Q111" si="294">Q101+Q110</f>
        <v>#REF!</v>
      </c>
      <c r="R111" s="127" t="e">
        <f t="shared" ref="R111" si="295">R101+R110</f>
        <v>#REF!</v>
      </c>
      <c r="S111" s="127" t="e">
        <f t="shared" ref="S111" si="296">S101+S110</f>
        <v>#REF!</v>
      </c>
      <c r="T111" s="127" t="e">
        <f t="shared" ref="T111" si="297">T101+T110</f>
        <v>#REF!</v>
      </c>
      <c r="U111" s="127" t="e">
        <f t="shared" ref="U111" si="298">U101+U110</f>
        <v>#REF!</v>
      </c>
      <c r="V111" s="127" t="e">
        <f t="shared" ref="V111" si="299">V101+V110</f>
        <v>#REF!</v>
      </c>
      <c r="W111" s="127" t="e">
        <f t="shared" ref="W111" si="300">W101+W110</f>
        <v>#REF!</v>
      </c>
      <c r="X111" s="127" t="e">
        <f t="shared" ref="X111" si="301">X101+X110</f>
        <v>#REF!</v>
      </c>
      <c r="Y111" s="127" t="e">
        <f t="shared" ref="Y111" si="302">Y101+Y110</f>
        <v>#REF!</v>
      </c>
      <c r="Z111" s="127" t="e">
        <f t="shared" ref="Z111" si="303">Z101+Z110</f>
        <v>#REF!</v>
      </c>
      <c r="AA111" s="127" t="e">
        <f t="shared" ref="AA111" si="304">AA101+AA110</f>
        <v>#REF!</v>
      </c>
      <c r="AB111" s="127" t="e">
        <f t="shared" ref="AB111" si="305">AB101+AB110</f>
        <v>#REF!</v>
      </c>
      <c r="AC111" s="127" t="e">
        <f t="shared" ref="AC111" si="306">AC101+AC110</f>
        <v>#REF!</v>
      </c>
      <c r="AD111" s="127" t="e">
        <f t="shared" ref="AD111" si="307">AD101+AD110</f>
        <v>#REF!</v>
      </c>
      <c r="AE111" s="127" t="e">
        <f t="shared" ref="AE111" si="308">AE101+AE110</f>
        <v>#REF!</v>
      </c>
      <c r="AF111" s="127" t="e">
        <f t="shared" ref="AF111" si="309">AF101+AF110</f>
        <v>#REF!</v>
      </c>
      <c r="AG111" s="127" t="e">
        <f t="shared" ref="AG111" si="310">AG101+AG110</f>
        <v>#REF!</v>
      </c>
      <c r="AH111" s="127" t="e">
        <f t="shared" ref="AH111" si="311">AH101+AH110</f>
        <v>#REF!</v>
      </c>
      <c r="AI111" s="127" t="e">
        <f t="shared" ref="AI111" si="312">AI101+AI110</f>
        <v>#REF!</v>
      </c>
      <c r="AJ111" s="127" t="e">
        <f t="shared" ref="AJ111" si="313">AJ101+AJ110</f>
        <v>#REF!</v>
      </c>
      <c r="AK111" s="127" t="e">
        <f t="shared" ref="AK111" si="314">AK101+AK110</f>
        <v>#REF!</v>
      </c>
      <c r="AL111" s="127" t="e">
        <f t="shared" ref="AL111" si="315">AL101+AL110</f>
        <v>#REF!</v>
      </c>
      <c r="AM111" s="127" t="e">
        <f t="shared" ref="AM111" si="316">AM101+AM110</f>
        <v>#REF!</v>
      </c>
      <c r="AN111" s="127" t="e">
        <f t="shared" ref="AN111" si="317">AN101+AN110</f>
        <v>#REF!</v>
      </c>
      <c r="AO111" s="127" t="e">
        <f t="shared" ref="AO111" si="318">AO101+AO110</f>
        <v>#REF!</v>
      </c>
      <c r="AP111" s="127" t="e">
        <f t="shared" ref="AP111" si="319">AP101+AP110</f>
        <v>#REF!</v>
      </c>
      <c r="AQ111" s="127" t="e">
        <f t="shared" ref="AQ111" si="320">AQ101+AQ110</f>
        <v>#REF!</v>
      </c>
      <c r="AR111" s="127" t="e">
        <f t="shared" ref="AR111" si="321">AR101+AR110</f>
        <v>#REF!</v>
      </c>
      <c r="AS111" s="127" t="e">
        <f t="shared" ref="AS111" si="322">AS101+AS110</f>
        <v>#REF!</v>
      </c>
      <c r="AT111" s="127" t="e">
        <f t="shared" ref="AT111" si="323">AT101+AT110</f>
        <v>#REF!</v>
      </c>
      <c r="AU111" s="127" t="e">
        <f t="shared" ref="AU111" si="324">AU101+AU110</f>
        <v>#REF!</v>
      </c>
      <c r="AV111" s="127" t="e">
        <f t="shared" ref="AV111" si="325">AV101+AV110</f>
        <v>#REF!</v>
      </c>
      <c r="AW111" s="127" t="e">
        <f t="shared" ref="AW111" si="326">AW101+AW110</f>
        <v>#REF!</v>
      </c>
      <c r="AX111" s="127" t="e">
        <f t="shared" ref="AX111" si="327">AX101+AX110</f>
        <v>#REF!</v>
      </c>
      <c r="AY111" s="127" t="e">
        <f t="shared" ref="AY111" si="328">AY101+AY110</f>
        <v>#REF!</v>
      </c>
      <c r="AZ111" s="127" t="e">
        <f t="shared" ref="AZ111" si="329">AZ101+AZ110</f>
        <v>#REF!</v>
      </c>
      <c r="BA111" s="127" t="e">
        <f t="shared" ref="BA111" si="330">BA101+BA110</f>
        <v>#REF!</v>
      </c>
    </row>
    <row r="112" s="104" customFormat="1" ht="14.25" spans="1:53">
      <c r="A112" s="117"/>
      <c r="B112" s="118" t="e">
        <f>'18年合同登记表'!#REF!</f>
        <v>#REF!</v>
      </c>
      <c r="C112" s="119" t="e">
        <f>'18年合同登记表'!#REF!</f>
        <v>#REF!</v>
      </c>
      <c r="D112" s="119" t="e">
        <f>'18年合同登记表'!#REF!</f>
        <v>#REF!</v>
      </c>
      <c r="E112" s="120" t="e">
        <f>'18年合同登记表'!#REF!</f>
        <v>#REF!</v>
      </c>
      <c r="F112" s="121" t="e">
        <f>客服部最终提成计算表!$X114*0.15*0.8*0.85*'18年合同登记表'!T141/'18年合同登记表'!#REF!</f>
        <v>#REF!</v>
      </c>
      <c r="G112" s="122" t="e">
        <f>客服部最终提成计算表!$X114*0.15*0.8*0.08*'18年合同登记表'!T141/'18年合同登记表'!#REF!</f>
        <v>#REF!</v>
      </c>
      <c r="H112" s="122" t="e">
        <f>客服部最终提成计算表!$X114*0.15*0.8*0.05*'18年合同登记表'!T141/'18年合同登记表'!#REF!</f>
        <v>#REF!</v>
      </c>
      <c r="I112" s="122" t="e">
        <f>客服部最终提成计算表!$X114*0.15*0.8*0.02*'18年合同登记表'!T141/'18年合同登记表'!#REF!</f>
        <v>#REF!</v>
      </c>
      <c r="J112" s="122" t="e">
        <f>客服部最终提成计算表!$X114*0.15*0.8*0.85*'18年合同登记表'!V141/'18年合同登记表'!#REF!</f>
        <v>#REF!</v>
      </c>
      <c r="K112" s="122" t="e">
        <f>客服部最终提成计算表!$X114*0.15*0.8*0.08*'18年合同登记表'!V141/'18年合同登记表'!#REF!</f>
        <v>#REF!</v>
      </c>
      <c r="L112" s="122" t="e">
        <f>客服部最终提成计算表!$X114*0.15*0.8*0.05*'18年合同登记表'!V141/'18年合同登记表'!#REF!</f>
        <v>#REF!</v>
      </c>
      <c r="M112" s="122" t="e">
        <f>客服部最终提成计算表!$X114*0.15*0.8*0.02*'18年合同登记表'!V141/'18年合同登记表'!#REF!</f>
        <v>#REF!</v>
      </c>
      <c r="N112" s="122" t="e">
        <f>客服部最终提成计算表!$X114*0.15*0.8*0.85*'18年合同登记表'!X141/'18年合同登记表'!#REF!</f>
        <v>#REF!</v>
      </c>
      <c r="O112" s="122" t="e">
        <f>客服部最终提成计算表!$X114*0.15*0.8*0.08*'18年合同登记表'!X141/'18年合同登记表'!#REF!</f>
        <v>#REF!</v>
      </c>
      <c r="P112" s="122" t="e">
        <f>客服部最终提成计算表!$X114*0.15*0.8*0.05*'18年合同登记表'!X141/'18年合同登记表'!#REF!</f>
        <v>#REF!</v>
      </c>
      <c r="Q112" s="122" t="e">
        <f>客服部最终提成计算表!$X114*0.15*0.8*0.02*'18年合同登记表'!X141/'18年合同登记表'!#REF!</f>
        <v>#REF!</v>
      </c>
      <c r="R112" s="122" t="e">
        <f>客服部最终提成计算表!$X114*0.15*0.8*0.85*'18年合同登记表'!Z141/'18年合同登记表'!#REF!</f>
        <v>#REF!</v>
      </c>
      <c r="S112" s="122" t="e">
        <f>客服部最终提成计算表!$X114*0.15*0.8*0.08*'18年合同登记表'!Z141/'18年合同登记表'!#REF!</f>
        <v>#REF!</v>
      </c>
      <c r="T112" s="122" t="e">
        <f>客服部最终提成计算表!$X114*0.15*0.8*0.05*'18年合同登记表'!Z141/'18年合同登记表'!#REF!</f>
        <v>#REF!</v>
      </c>
      <c r="U112" s="122" t="e">
        <f>客服部最终提成计算表!$X114*0.15*0.8*0.02*'18年合同登记表'!Z141/'18年合同登记表'!#REF!</f>
        <v>#REF!</v>
      </c>
      <c r="V112" s="122" t="e">
        <f>客服部最终提成计算表!$X114*0.15*0.8*0.85*'18年合同登记表'!AB141/'18年合同登记表'!#REF!</f>
        <v>#REF!</v>
      </c>
      <c r="W112" s="122" t="e">
        <f>客服部最终提成计算表!$X114*0.15*0.8*0.08*'18年合同登记表'!AB141/'18年合同登记表'!#REF!</f>
        <v>#REF!</v>
      </c>
      <c r="X112" s="122" t="e">
        <f>客服部最终提成计算表!$X114*0.15*0.8*0.05*'18年合同登记表'!AB141/'18年合同登记表'!#REF!</f>
        <v>#REF!</v>
      </c>
      <c r="Y112" s="122" t="e">
        <f>客服部最终提成计算表!$X114*0.15*0.8*0.02*'18年合同登记表'!AB141/'18年合同登记表'!#REF!</f>
        <v>#REF!</v>
      </c>
      <c r="Z112" s="122" t="e">
        <f>客服部最终提成计算表!$X114*0.15*0.8*0.85*'18年合同登记表'!AD141/'18年合同登记表'!#REF!</f>
        <v>#REF!</v>
      </c>
      <c r="AA112" s="122" t="e">
        <f>客服部最终提成计算表!$X114*0.15*0.8*0.08*'18年合同登记表'!AD141/'18年合同登记表'!#REF!</f>
        <v>#REF!</v>
      </c>
      <c r="AB112" s="122" t="e">
        <f>客服部最终提成计算表!$X114*0.15*0.8*0.05*'18年合同登记表'!AD141/'18年合同登记表'!#REF!</f>
        <v>#REF!</v>
      </c>
      <c r="AC112" s="122" t="e">
        <f>客服部最终提成计算表!$X114*0.15*0.8*0.02*'18年合同登记表'!AD141/'18年合同登记表'!#REF!</f>
        <v>#REF!</v>
      </c>
      <c r="AD112" s="122" t="e">
        <f>客服部最终提成计算表!$X114*0.15*0.8*0.85*'18年合同登记表'!AF141/'18年合同登记表'!#REF!</f>
        <v>#REF!</v>
      </c>
      <c r="AE112" s="122" t="e">
        <f>客服部最终提成计算表!$X114*0.15*0.8*0.08*'18年合同登记表'!AF141/'18年合同登记表'!#REF!</f>
        <v>#REF!</v>
      </c>
      <c r="AF112" s="122" t="e">
        <f>客服部最终提成计算表!$X114*0.15*0.8*0.05*'18年合同登记表'!AF141/'18年合同登记表'!#REF!</f>
        <v>#REF!</v>
      </c>
      <c r="AG112" s="122" t="e">
        <f>客服部最终提成计算表!$X114*0.15*0.8*0.02*'18年合同登记表'!AF141/'18年合同登记表'!#REF!</f>
        <v>#REF!</v>
      </c>
      <c r="AH112" s="122" t="e">
        <f>客服部最终提成计算表!$X114*0.15*0.8*0.85*'18年合同登记表'!AH141/'18年合同登记表'!#REF!</f>
        <v>#REF!</v>
      </c>
      <c r="AI112" s="122" t="e">
        <f>客服部最终提成计算表!$X114*0.15*0.8*0.08*'18年合同登记表'!AH141/'18年合同登记表'!#REF!</f>
        <v>#REF!</v>
      </c>
      <c r="AJ112" s="122" t="e">
        <f>客服部最终提成计算表!$X114*0.15*0.8*0.05*'18年合同登记表'!AH141/'18年合同登记表'!#REF!</f>
        <v>#REF!</v>
      </c>
      <c r="AK112" s="122" t="e">
        <f>客服部最终提成计算表!$X114*0.15*0.8*0.02*'18年合同登记表'!AH141/'18年合同登记表'!#REF!</f>
        <v>#REF!</v>
      </c>
      <c r="AL112" s="122" t="e">
        <f>客服部最终提成计算表!$X114*0.15*0.8*0.85*'18年合同登记表'!AJ141/'18年合同登记表'!#REF!</f>
        <v>#REF!</v>
      </c>
      <c r="AM112" s="122" t="e">
        <f>客服部最终提成计算表!$X114*0.15*0.8*0.08*'18年合同登记表'!AJ141/'18年合同登记表'!#REF!</f>
        <v>#REF!</v>
      </c>
      <c r="AN112" s="122" t="e">
        <f>客服部最终提成计算表!$X114*0.15*0.8*0.05*'18年合同登记表'!AJ141/'18年合同登记表'!#REF!</f>
        <v>#REF!</v>
      </c>
      <c r="AO112" s="122" t="e">
        <f>客服部最终提成计算表!$X114*0.15*0.8*0.02*'18年合同登记表'!AJ141/'18年合同登记表'!#REF!</f>
        <v>#REF!</v>
      </c>
      <c r="AP112" s="122" t="e">
        <f>客服部最终提成计算表!$X114*0.15*0.8*0.85*'18年合同登记表'!AL141/'18年合同登记表'!#REF!</f>
        <v>#REF!</v>
      </c>
      <c r="AQ112" s="122" t="e">
        <f>客服部最终提成计算表!$X114*0.15*0.8*0.08*'18年合同登记表'!AL141/'18年合同登记表'!#REF!</f>
        <v>#REF!</v>
      </c>
      <c r="AR112" s="122" t="e">
        <f>客服部最终提成计算表!$X114*0.15*0.8*0.05*'18年合同登记表'!AL141/'18年合同登记表'!#REF!</f>
        <v>#REF!</v>
      </c>
      <c r="AS112" s="122" t="e">
        <f>客服部最终提成计算表!$X114*0.15*0.8*0.02*'18年合同登记表'!AL141/'18年合同登记表'!#REF!</f>
        <v>#REF!</v>
      </c>
      <c r="AT112" s="122" t="e">
        <f>客服部最终提成计算表!$X114*0.15*0.8*0.85*'18年合同登记表'!AN141/'18年合同登记表'!#REF!</f>
        <v>#REF!</v>
      </c>
      <c r="AU112" s="122" t="e">
        <f>客服部最终提成计算表!$X114*0.15*0.8*0.08*'18年合同登记表'!AN141/'18年合同登记表'!#REF!</f>
        <v>#REF!</v>
      </c>
      <c r="AV112" s="122" t="e">
        <f>客服部最终提成计算表!$X114*0.15*0.8*0.05*'18年合同登记表'!AN141/'18年合同登记表'!#REF!</f>
        <v>#REF!</v>
      </c>
      <c r="AW112" s="122" t="e">
        <f>客服部最终提成计算表!$X114*0.15*0.8*0.02*'18年合同登记表'!AN141/'18年合同登记表'!#REF!</f>
        <v>#REF!</v>
      </c>
      <c r="AX112" s="122" t="e">
        <f>客服部最终提成计算表!$X114*0.15*0.8*0.85*'18年合同登记表'!AP141/'18年合同登记表'!#REF!</f>
        <v>#REF!</v>
      </c>
      <c r="AY112" s="122" t="e">
        <f>客服部最终提成计算表!$X114*0.15*0.8*0.08*'18年合同登记表'!AP141/'18年合同登记表'!#REF!</f>
        <v>#REF!</v>
      </c>
      <c r="AZ112" s="122" t="e">
        <f>客服部最终提成计算表!$X114*0.15*0.8*0.05*'18年合同登记表'!AP141/'18年合同登记表'!#REF!</f>
        <v>#REF!</v>
      </c>
      <c r="BA112" s="131" t="e">
        <f>客服部最终提成计算表!$X114*0.15*0.8*0.02*'18年合同登记表'!AP141/'18年合同登记表'!#REF!</f>
        <v>#REF!</v>
      </c>
    </row>
    <row r="113" s="104" customFormat="1" ht="14.25" spans="1:53">
      <c r="A113" s="117"/>
      <c r="B113" s="118" t="str">
        <f>'18年合同登记表'!F142</f>
        <v>豪庭酒店</v>
      </c>
      <c r="C113" s="119" t="str">
        <f>'18年合同登记表'!H142</f>
        <v>JKHH-20180928-L-01-01-049</v>
      </c>
      <c r="D113" s="119" t="str">
        <f>'18年合同登记表'!I142</f>
        <v>直燃机年度维保</v>
      </c>
      <c r="E113" s="120" t="str">
        <f>'18年合同登记表'!L142</f>
        <v>陈勇</v>
      </c>
      <c r="F113" s="121">
        <f>客服部最终提成计算表!$X115*0.15*0.8*0.85*'18年合同登记表'!T142/'18年合同登记表'!$M142</f>
        <v>0</v>
      </c>
      <c r="G113" s="122">
        <f>客服部最终提成计算表!$X115*0.15*0.8*0.08*'18年合同登记表'!T142/'18年合同登记表'!$M142</f>
        <v>0</v>
      </c>
      <c r="H113" s="122">
        <f>客服部最终提成计算表!$X115*0.15*0.8*0.05*'18年合同登记表'!T142/'18年合同登记表'!$M142</f>
        <v>0</v>
      </c>
      <c r="I113" s="122">
        <f>客服部最终提成计算表!$X115*0.15*0.8*0.02*'18年合同登记表'!T142/'18年合同登记表'!$M142</f>
        <v>0</v>
      </c>
      <c r="J113" s="122">
        <f>客服部最终提成计算表!$X115*0.15*0.8*0.85*'18年合同登记表'!V142/'18年合同登记表'!$M142</f>
        <v>0</v>
      </c>
      <c r="K113" s="122">
        <f>客服部最终提成计算表!$X115*0.15*0.8*0.08*'18年合同登记表'!V142/'18年合同登记表'!$M142</f>
        <v>0</v>
      </c>
      <c r="L113" s="122">
        <f>客服部最终提成计算表!$X115*0.15*0.8*0.05*'18年合同登记表'!V142/'18年合同登记表'!$M142</f>
        <v>0</v>
      </c>
      <c r="M113" s="122">
        <f>客服部最终提成计算表!$X115*0.15*0.8*0.02*'18年合同登记表'!V142/'18年合同登记表'!$M142</f>
        <v>0</v>
      </c>
      <c r="N113" s="122">
        <f>客服部最终提成计算表!$X115*0.15*0.8*0.85*'18年合同登记表'!X142/'18年合同登记表'!$M142</f>
        <v>0</v>
      </c>
      <c r="O113" s="122">
        <f>客服部最终提成计算表!$X115*0.15*0.8*0.08*'18年合同登记表'!X142/'18年合同登记表'!$M142</f>
        <v>0</v>
      </c>
      <c r="P113" s="122">
        <f>客服部最终提成计算表!$X115*0.15*0.8*0.05*'18年合同登记表'!X142/'18年合同登记表'!$M142</f>
        <v>0</v>
      </c>
      <c r="Q113" s="122">
        <f>客服部最终提成计算表!$X115*0.15*0.8*0.02*'18年合同登记表'!X142/'18年合同登记表'!$M142</f>
        <v>0</v>
      </c>
      <c r="R113" s="122">
        <f>客服部最终提成计算表!$X115*0.15*0.8*0.85*'18年合同登记表'!Z142/'18年合同登记表'!$M142</f>
        <v>0</v>
      </c>
      <c r="S113" s="122">
        <f>客服部最终提成计算表!$X115*0.15*0.8*0.08*'18年合同登记表'!Z142/'18年合同登记表'!$M142</f>
        <v>0</v>
      </c>
      <c r="T113" s="122">
        <f>客服部最终提成计算表!$X115*0.15*0.8*0.05*'18年合同登记表'!Z142/'18年合同登记表'!$M142</f>
        <v>0</v>
      </c>
      <c r="U113" s="122">
        <f>客服部最终提成计算表!$X115*0.15*0.8*0.02*'18年合同登记表'!Z142/'18年合同登记表'!$M142</f>
        <v>0</v>
      </c>
      <c r="V113" s="122">
        <f>客服部最终提成计算表!$X115*0.15*0.8*0.85*'18年合同登记表'!AB142/'18年合同登记表'!$M142</f>
        <v>0</v>
      </c>
      <c r="W113" s="122">
        <f>客服部最终提成计算表!$X115*0.15*0.8*0.08*'18年合同登记表'!AB142/'18年合同登记表'!$M142</f>
        <v>0</v>
      </c>
      <c r="X113" s="122">
        <f>客服部最终提成计算表!$X115*0.15*0.8*0.05*'18年合同登记表'!AB142/'18年合同登记表'!$M142</f>
        <v>0</v>
      </c>
      <c r="Y113" s="122">
        <f>客服部最终提成计算表!$X115*0.15*0.8*0.02*'18年合同登记表'!AB142/'18年合同登记表'!$M142</f>
        <v>0</v>
      </c>
      <c r="Z113" s="122">
        <f>客服部最终提成计算表!$X115*0.15*0.8*0.85*'18年合同登记表'!AD142/'18年合同登记表'!$M142</f>
        <v>0</v>
      </c>
      <c r="AA113" s="122">
        <f>客服部最终提成计算表!$X115*0.15*0.8*0.08*'18年合同登记表'!AD142/'18年合同登记表'!$M142</f>
        <v>0</v>
      </c>
      <c r="AB113" s="122">
        <f>客服部最终提成计算表!$X115*0.15*0.8*0.05*'18年合同登记表'!AD142/'18年合同登记表'!$M142</f>
        <v>0</v>
      </c>
      <c r="AC113" s="122">
        <f>客服部最终提成计算表!$X115*0.15*0.8*0.02*'18年合同登记表'!AD142/'18年合同登记表'!$M142</f>
        <v>0</v>
      </c>
      <c r="AD113" s="122">
        <f>客服部最终提成计算表!$X115*0.15*0.8*0.85*'18年合同登记表'!AF142/'18年合同登记表'!$M142</f>
        <v>0</v>
      </c>
      <c r="AE113" s="122">
        <f>客服部最终提成计算表!$X115*0.15*0.8*0.08*'18年合同登记表'!AF142/'18年合同登记表'!$M142</f>
        <v>0</v>
      </c>
      <c r="AF113" s="122">
        <f>客服部最终提成计算表!$X115*0.15*0.8*0.05*'18年合同登记表'!AF142/'18年合同登记表'!$M142</f>
        <v>0</v>
      </c>
      <c r="AG113" s="122">
        <f>客服部最终提成计算表!$X115*0.15*0.8*0.02*'18年合同登记表'!AF142/'18年合同登记表'!$M142</f>
        <v>0</v>
      </c>
      <c r="AH113" s="122">
        <f>客服部最终提成计算表!$X115*0.15*0.8*0.85*'18年合同登记表'!AH142/'18年合同登记表'!$M142</f>
        <v>0</v>
      </c>
      <c r="AI113" s="122">
        <f>客服部最终提成计算表!$X115*0.15*0.8*0.08*'18年合同登记表'!AH142/'18年合同登记表'!$M142</f>
        <v>0</v>
      </c>
      <c r="AJ113" s="122">
        <f>客服部最终提成计算表!$X115*0.15*0.8*0.05*'18年合同登记表'!AH142/'18年合同登记表'!$M142</f>
        <v>0</v>
      </c>
      <c r="AK113" s="122">
        <f>客服部最终提成计算表!$X115*0.15*0.8*0.02*'18年合同登记表'!AH142/'18年合同登记表'!$M142</f>
        <v>0</v>
      </c>
      <c r="AL113" s="122">
        <f>客服部最终提成计算表!$X115*0.15*0.8*0.85*'18年合同登记表'!AJ142/'18年合同登记表'!$M142</f>
        <v>0</v>
      </c>
      <c r="AM113" s="122">
        <f>客服部最终提成计算表!$X115*0.15*0.8*0.08*'18年合同登记表'!AJ142/'18年合同登记表'!$M142</f>
        <v>0</v>
      </c>
      <c r="AN113" s="122">
        <f>客服部最终提成计算表!$X115*0.15*0.8*0.05*'18年合同登记表'!AJ142/'18年合同登记表'!$M142</f>
        <v>0</v>
      </c>
      <c r="AO113" s="122">
        <f>客服部最终提成计算表!$X115*0.15*0.8*0.02*'18年合同登记表'!AJ142/'18年合同登记表'!$M142</f>
        <v>0</v>
      </c>
      <c r="AP113" s="122">
        <f>客服部最终提成计算表!$X115*0.15*0.8*0.85*'18年合同登记表'!AL142/'18年合同登记表'!$M142</f>
        <v>0</v>
      </c>
      <c r="AQ113" s="122">
        <f>客服部最终提成计算表!$X115*0.15*0.8*0.08*'18年合同登记表'!AL142/'18年合同登记表'!$M142</f>
        <v>0</v>
      </c>
      <c r="AR113" s="122">
        <f>客服部最终提成计算表!$X115*0.15*0.8*0.05*'18年合同登记表'!AL142/'18年合同登记表'!$M142</f>
        <v>0</v>
      </c>
      <c r="AS113" s="122">
        <f>客服部最终提成计算表!$X115*0.15*0.8*0.02*'18年合同登记表'!AL142/'18年合同登记表'!$M142</f>
        <v>0</v>
      </c>
      <c r="AT113" s="122">
        <f>客服部最终提成计算表!$X115*0.15*0.8*0.85*'18年合同登记表'!AN142/'18年合同登记表'!$M142</f>
        <v>1326</v>
      </c>
      <c r="AU113" s="122">
        <f>客服部最终提成计算表!$X115*0.15*0.8*0.08*'18年合同登记表'!AN142/'18年合同登记表'!$M142</f>
        <v>124.8</v>
      </c>
      <c r="AV113" s="122">
        <f>客服部最终提成计算表!$X115*0.15*0.8*0.05*'18年合同登记表'!AN142/'18年合同登记表'!$M142</f>
        <v>78</v>
      </c>
      <c r="AW113" s="122">
        <f>客服部最终提成计算表!$X115*0.15*0.8*0.02*'18年合同登记表'!AN142/'18年合同登记表'!$M142</f>
        <v>31.2</v>
      </c>
      <c r="AX113" s="122">
        <f>客服部最终提成计算表!$X115*0.15*0.8*0.85*'18年合同登记表'!AP142/'18年合同登记表'!$M142</f>
        <v>0</v>
      </c>
      <c r="AY113" s="122">
        <f>客服部最终提成计算表!$X115*0.15*0.8*0.08*'18年合同登记表'!AP142/'18年合同登记表'!$M142</f>
        <v>0</v>
      </c>
      <c r="AZ113" s="122">
        <f>客服部最终提成计算表!$X115*0.15*0.8*0.05*'18年合同登记表'!AP142/'18年合同登记表'!$M142</f>
        <v>0</v>
      </c>
      <c r="BA113" s="131">
        <f>客服部最终提成计算表!$X115*0.15*0.8*0.02*'18年合同登记表'!AP142/'18年合同登记表'!$M142</f>
        <v>0</v>
      </c>
    </row>
    <row r="114" s="104" customFormat="1" ht="14.25" spans="1:53">
      <c r="A114" s="117"/>
      <c r="B114" s="118" t="str">
        <f>'18年合同登记表'!F143</f>
        <v>艾福亿维</v>
      </c>
      <c r="C114" s="119" t="str">
        <f>'18年合同登记表'!H143</f>
        <v>NHY-20180913-L-01-03-030</v>
      </c>
      <c r="D114" s="119" t="str">
        <f>'18年合同登记表'!I143</f>
        <v>空压机维保合同</v>
      </c>
      <c r="E114" s="120" t="str">
        <f>'18年合同登记表'!L143</f>
        <v>陈勇</v>
      </c>
      <c r="F114" s="121">
        <f>客服部最终提成计算表!$X116*0.15*0.8*0.85*'18年合同登记表'!T143/'18年合同登记表'!$M143</f>
        <v>0</v>
      </c>
      <c r="G114" s="122">
        <f>客服部最终提成计算表!$X116*0.15*0.8*0.08*'18年合同登记表'!T143/'18年合同登记表'!$M143</f>
        <v>0</v>
      </c>
      <c r="H114" s="122">
        <f>客服部最终提成计算表!$X116*0.15*0.8*0.05*'18年合同登记表'!T143/'18年合同登记表'!$M143</f>
        <v>0</v>
      </c>
      <c r="I114" s="122">
        <f>客服部最终提成计算表!$X116*0.15*0.8*0.02*'18年合同登记表'!T143/'18年合同登记表'!$M143</f>
        <v>0</v>
      </c>
      <c r="J114" s="122">
        <f>客服部最终提成计算表!$X116*0.15*0.8*0.85*'18年合同登记表'!V143/'18年合同登记表'!$M143</f>
        <v>0</v>
      </c>
      <c r="K114" s="122">
        <f>客服部最终提成计算表!$X116*0.15*0.8*0.08*'18年合同登记表'!V143/'18年合同登记表'!$M143</f>
        <v>0</v>
      </c>
      <c r="L114" s="122">
        <f>客服部最终提成计算表!$X116*0.15*0.8*0.05*'18年合同登记表'!V143/'18年合同登记表'!$M143</f>
        <v>0</v>
      </c>
      <c r="M114" s="122">
        <f>客服部最终提成计算表!$X116*0.15*0.8*0.02*'18年合同登记表'!V143/'18年合同登记表'!$M143</f>
        <v>0</v>
      </c>
      <c r="N114" s="122">
        <f>客服部最终提成计算表!$X116*0.15*0.8*0.85*'18年合同登记表'!X143/'18年合同登记表'!$M143</f>
        <v>0</v>
      </c>
      <c r="O114" s="122">
        <f>客服部最终提成计算表!$X116*0.15*0.8*0.08*'18年合同登记表'!X143/'18年合同登记表'!$M143</f>
        <v>0</v>
      </c>
      <c r="P114" s="122">
        <f>客服部最终提成计算表!$X116*0.15*0.8*0.05*'18年合同登记表'!X143/'18年合同登记表'!$M143</f>
        <v>0</v>
      </c>
      <c r="Q114" s="122">
        <f>客服部最终提成计算表!$X116*0.15*0.8*0.02*'18年合同登记表'!X143/'18年合同登记表'!$M143</f>
        <v>0</v>
      </c>
      <c r="R114" s="122">
        <f>客服部最终提成计算表!$X116*0.15*0.8*0.85*'18年合同登记表'!Z143/'18年合同登记表'!$M143</f>
        <v>0</v>
      </c>
      <c r="S114" s="122">
        <f>客服部最终提成计算表!$X116*0.15*0.8*0.08*'18年合同登记表'!Z143/'18年合同登记表'!$M143</f>
        <v>0</v>
      </c>
      <c r="T114" s="122">
        <f>客服部最终提成计算表!$X116*0.15*0.8*0.05*'18年合同登记表'!Z143/'18年合同登记表'!$M143</f>
        <v>0</v>
      </c>
      <c r="U114" s="122">
        <f>客服部最终提成计算表!$X116*0.15*0.8*0.02*'18年合同登记表'!Z143/'18年合同登记表'!$M143</f>
        <v>0</v>
      </c>
      <c r="V114" s="122">
        <f>客服部最终提成计算表!$X116*0.15*0.8*0.85*'18年合同登记表'!AB143/'18年合同登记表'!$M143</f>
        <v>0</v>
      </c>
      <c r="W114" s="122">
        <f>客服部最终提成计算表!$X116*0.15*0.8*0.08*'18年合同登记表'!AB143/'18年合同登记表'!$M143</f>
        <v>0</v>
      </c>
      <c r="X114" s="122">
        <f>客服部最终提成计算表!$X116*0.15*0.8*0.05*'18年合同登记表'!AB143/'18年合同登记表'!$M143</f>
        <v>0</v>
      </c>
      <c r="Y114" s="122">
        <f>客服部最终提成计算表!$X116*0.15*0.8*0.02*'18年合同登记表'!AB143/'18年合同登记表'!$M143</f>
        <v>0</v>
      </c>
      <c r="Z114" s="122">
        <f>客服部最终提成计算表!$X116*0.15*0.8*0.85*'18年合同登记表'!AD143/'18年合同登记表'!$M143</f>
        <v>0</v>
      </c>
      <c r="AA114" s="122">
        <f>客服部最终提成计算表!$X116*0.15*0.8*0.08*'18年合同登记表'!AD143/'18年合同登记表'!$M143</f>
        <v>0</v>
      </c>
      <c r="AB114" s="122">
        <f>客服部最终提成计算表!$X116*0.15*0.8*0.05*'18年合同登记表'!AD143/'18年合同登记表'!$M143</f>
        <v>0</v>
      </c>
      <c r="AC114" s="122">
        <f>客服部最终提成计算表!$X116*0.15*0.8*0.02*'18年合同登记表'!AD143/'18年合同登记表'!$M143</f>
        <v>0</v>
      </c>
      <c r="AD114" s="122">
        <f>客服部最终提成计算表!$X116*0.15*0.8*0.85*'18年合同登记表'!AF143/'18年合同登记表'!$M143</f>
        <v>0</v>
      </c>
      <c r="AE114" s="122">
        <f>客服部最终提成计算表!$X116*0.15*0.8*0.08*'18年合同登记表'!AF143/'18年合同登记表'!$M143</f>
        <v>0</v>
      </c>
      <c r="AF114" s="122">
        <f>客服部最终提成计算表!$X116*0.15*0.8*0.05*'18年合同登记表'!AF143/'18年合同登记表'!$M143</f>
        <v>0</v>
      </c>
      <c r="AG114" s="122">
        <f>客服部最终提成计算表!$X116*0.15*0.8*0.02*'18年合同登记表'!AF143/'18年合同登记表'!$M143</f>
        <v>0</v>
      </c>
      <c r="AH114" s="122">
        <f>客服部最终提成计算表!$X116*0.15*0.8*0.85*'18年合同登记表'!AH143/'18年合同登记表'!$M143</f>
        <v>0</v>
      </c>
      <c r="AI114" s="122">
        <f>客服部最终提成计算表!$X116*0.15*0.8*0.08*'18年合同登记表'!AH143/'18年合同登记表'!$M143</f>
        <v>0</v>
      </c>
      <c r="AJ114" s="122">
        <f>客服部最终提成计算表!$X116*0.15*0.8*0.05*'18年合同登记表'!AH143/'18年合同登记表'!$M143</f>
        <v>0</v>
      </c>
      <c r="AK114" s="122">
        <f>客服部最终提成计算表!$X116*0.15*0.8*0.02*'18年合同登记表'!AH143/'18年合同登记表'!$M143</f>
        <v>0</v>
      </c>
      <c r="AL114" s="122">
        <f>客服部最终提成计算表!$X116*0.15*0.8*0.85*'18年合同登记表'!AJ143/'18年合同登记表'!$M143</f>
        <v>0</v>
      </c>
      <c r="AM114" s="122">
        <f>客服部最终提成计算表!$X116*0.15*0.8*0.08*'18年合同登记表'!AJ143/'18年合同登记表'!$M143</f>
        <v>0</v>
      </c>
      <c r="AN114" s="122">
        <f>客服部最终提成计算表!$X116*0.15*0.8*0.05*'18年合同登记表'!AJ143/'18年合同登记表'!$M143</f>
        <v>0</v>
      </c>
      <c r="AO114" s="122">
        <f>客服部最终提成计算表!$X116*0.15*0.8*0.02*'18年合同登记表'!AJ143/'18年合同登记表'!$M143</f>
        <v>0</v>
      </c>
      <c r="AP114" s="122">
        <f>客服部最终提成计算表!$X116*0.15*0.8*0.85*'18年合同登记表'!AL143/'18年合同登记表'!$M143</f>
        <v>0</v>
      </c>
      <c r="AQ114" s="122">
        <f>客服部最终提成计算表!$X116*0.15*0.8*0.08*'18年合同登记表'!AL143/'18年合同登记表'!$M143</f>
        <v>0</v>
      </c>
      <c r="AR114" s="122">
        <f>客服部最终提成计算表!$X116*0.15*0.8*0.05*'18年合同登记表'!AL143/'18年合同登记表'!$M143</f>
        <v>0</v>
      </c>
      <c r="AS114" s="122">
        <f>客服部最终提成计算表!$X116*0.15*0.8*0.02*'18年合同登记表'!AL143/'18年合同登记表'!$M143</f>
        <v>0</v>
      </c>
      <c r="AT114" s="122">
        <f>客服部最终提成计算表!$X116*0.15*0.8*0.85*'18年合同登记表'!AN143/'18年合同登记表'!$M143</f>
        <v>612</v>
      </c>
      <c r="AU114" s="122">
        <f>客服部最终提成计算表!$X116*0.15*0.8*0.08*'18年合同登记表'!AN143/'18年合同登记表'!$M143</f>
        <v>57.6</v>
      </c>
      <c r="AV114" s="122">
        <f>客服部最终提成计算表!$X116*0.15*0.8*0.05*'18年合同登记表'!AN143/'18年合同登记表'!$M143</f>
        <v>36</v>
      </c>
      <c r="AW114" s="122">
        <f>客服部最终提成计算表!$X116*0.15*0.8*0.02*'18年合同登记表'!AN143/'18年合同登记表'!$M143</f>
        <v>14.4</v>
      </c>
      <c r="AX114" s="122">
        <f>客服部最终提成计算表!$X116*0.15*0.8*0.85*'18年合同登记表'!AP143/'18年合同登记表'!$M143</f>
        <v>0</v>
      </c>
      <c r="AY114" s="122">
        <f>客服部最终提成计算表!$X116*0.15*0.8*0.08*'18年合同登记表'!AP143/'18年合同登记表'!$M143</f>
        <v>0</v>
      </c>
      <c r="AZ114" s="122">
        <f>客服部最终提成计算表!$X116*0.15*0.8*0.05*'18年合同登记表'!AP143/'18年合同登记表'!$M143</f>
        <v>0</v>
      </c>
      <c r="BA114" s="131">
        <f>客服部最终提成计算表!$X116*0.15*0.8*0.02*'18年合同登记表'!AP143/'18年合同登记表'!$M143</f>
        <v>0</v>
      </c>
    </row>
    <row r="115" s="104" customFormat="1" ht="14.25" spans="1:53">
      <c r="A115" s="117"/>
      <c r="B115" s="118" t="str">
        <f>'18年合同登记表'!F144</f>
        <v>艾福亿维</v>
      </c>
      <c r="C115" s="119" t="str">
        <f>'18年合同登记表'!H144</f>
        <v>NHY-20180913-L-01-01-030</v>
      </c>
      <c r="D115" s="119" t="str">
        <f>'18年合同登记表'!I144</f>
        <v>冷却塔维保</v>
      </c>
      <c r="E115" s="120" t="str">
        <f>'18年合同登记表'!L144</f>
        <v>陈勇</v>
      </c>
      <c r="F115" s="121">
        <f>客服部最终提成计算表!$X117*0.15*0.8*0.85*'18年合同登记表'!T144/'18年合同登记表'!$M144</f>
        <v>0</v>
      </c>
      <c r="G115" s="122">
        <f>客服部最终提成计算表!$X117*0.15*0.8*0.08*'18年合同登记表'!T144/'18年合同登记表'!$M144</f>
        <v>0</v>
      </c>
      <c r="H115" s="122">
        <f>客服部最终提成计算表!$X117*0.15*0.8*0.05*'18年合同登记表'!T144/'18年合同登记表'!$M144</f>
        <v>0</v>
      </c>
      <c r="I115" s="122">
        <f>客服部最终提成计算表!$X117*0.15*0.8*0.02*'18年合同登记表'!T144/'18年合同登记表'!$M144</f>
        <v>0</v>
      </c>
      <c r="J115" s="122">
        <f>客服部最终提成计算表!$X117*0.15*0.8*0.85*'18年合同登记表'!V144/'18年合同登记表'!$M144</f>
        <v>0</v>
      </c>
      <c r="K115" s="122">
        <f>客服部最终提成计算表!$X117*0.15*0.8*0.08*'18年合同登记表'!V144/'18年合同登记表'!$M144</f>
        <v>0</v>
      </c>
      <c r="L115" s="122">
        <f>客服部最终提成计算表!$X117*0.15*0.8*0.05*'18年合同登记表'!V144/'18年合同登记表'!$M144</f>
        <v>0</v>
      </c>
      <c r="M115" s="122">
        <f>客服部最终提成计算表!$X117*0.15*0.8*0.02*'18年合同登记表'!V144/'18年合同登记表'!$M144</f>
        <v>0</v>
      </c>
      <c r="N115" s="122">
        <f>客服部最终提成计算表!$X117*0.15*0.8*0.85*'18年合同登记表'!X144/'18年合同登记表'!$M144</f>
        <v>0</v>
      </c>
      <c r="O115" s="122">
        <f>客服部最终提成计算表!$X117*0.15*0.8*0.08*'18年合同登记表'!X144/'18年合同登记表'!$M144</f>
        <v>0</v>
      </c>
      <c r="P115" s="122">
        <f>客服部最终提成计算表!$X117*0.15*0.8*0.05*'18年合同登记表'!X144/'18年合同登记表'!$M144</f>
        <v>0</v>
      </c>
      <c r="Q115" s="122">
        <f>客服部最终提成计算表!$X117*0.15*0.8*0.02*'18年合同登记表'!X144/'18年合同登记表'!$M144</f>
        <v>0</v>
      </c>
      <c r="R115" s="122">
        <f>客服部最终提成计算表!$X117*0.15*0.8*0.85*'18年合同登记表'!Z144/'18年合同登记表'!$M144</f>
        <v>0</v>
      </c>
      <c r="S115" s="122">
        <f>客服部最终提成计算表!$X117*0.15*0.8*0.08*'18年合同登记表'!Z144/'18年合同登记表'!$M144</f>
        <v>0</v>
      </c>
      <c r="T115" s="122">
        <f>客服部最终提成计算表!$X117*0.15*0.8*0.05*'18年合同登记表'!Z144/'18年合同登记表'!$M144</f>
        <v>0</v>
      </c>
      <c r="U115" s="122">
        <f>客服部最终提成计算表!$X117*0.15*0.8*0.02*'18年合同登记表'!Z144/'18年合同登记表'!$M144</f>
        <v>0</v>
      </c>
      <c r="V115" s="122">
        <f>客服部最终提成计算表!$X117*0.15*0.8*0.85*'18年合同登记表'!AB144/'18年合同登记表'!$M144</f>
        <v>0</v>
      </c>
      <c r="W115" s="122">
        <f>客服部最终提成计算表!$X117*0.15*0.8*0.08*'18年合同登记表'!AB144/'18年合同登记表'!$M144</f>
        <v>0</v>
      </c>
      <c r="X115" s="122">
        <f>客服部最终提成计算表!$X117*0.15*0.8*0.05*'18年合同登记表'!AB144/'18年合同登记表'!$M144</f>
        <v>0</v>
      </c>
      <c r="Y115" s="122">
        <f>客服部最终提成计算表!$X117*0.15*0.8*0.02*'18年合同登记表'!AB144/'18年合同登记表'!$M144</f>
        <v>0</v>
      </c>
      <c r="Z115" s="122">
        <f>客服部最终提成计算表!$X117*0.15*0.8*0.85*'18年合同登记表'!AD144/'18年合同登记表'!$M144</f>
        <v>0</v>
      </c>
      <c r="AA115" s="122">
        <f>客服部最终提成计算表!$X117*0.15*0.8*0.08*'18年合同登记表'!AD144/'18年合同登记表'!$M144</f>
        <v>0</v>
      </c>
      <c r="AB115" s="122">
        <f>客服部最终提成计算表!$X117*0.15*0.8*0.05*'18年合同登记表'!AD144/'18年合同登记表'!$M144</f>
        <v>0</v>
      </c>
      <c r="AC115" s="122">
        <f>客服部最终提成计算表!$X117*0.15*0.8*0.02*'18年合同登记表'!AD144/'18年合同登记表'!$M144</f>
        <v>0</v>
      </c>
      <c r="AD115" s="122">
        <f>客服部最终提成计算表!$X117*0.15*0.8*0.85*'18年合同登记表'!AF144/'18年合同登记表'!$M144</f>
        <v>0</v>
      </c>
      <c r="AE115" s="122">
        <f>客服部最终提成计算表!$X117*0.15*0.8*0.08*'18年合同登记表'!AF144/'18年合同登记表'!$M144</f>
        <v>0</v>
      </c>
      <c r="AF115" s="122">
        <f>客服部最终提成计算表!$X117*0.15*0.8*0.05*'18年合同登记表'!AF144/'18年合同登记表'!$M144</f>
        <v>0</v>
      </c>
      <c r="AG115" s="122">
        <f>客服部最终提成计算表!$X117*0.15*0.8*0.02*'18年合同登记表'!AF144/'18年合同登记表'!$M144</f>
        <v>0</v>
      </c>
      <c r="AH115" s="122">
        <f>客服部最终提成计算表!$X117*0.15*0.8*0.85*'18年合同登记表'!AH144/'18年合同登记表'!$M144</f>
        <v>0</v>
      </c>
      <c r="AI115" s="122">
        <f>客服部最终提成计算表!$X117*0.15*0.8*0.08*'18年合同登记表'!AH144/'18年合同登记表'!$M144</f>
        <v>0</v>
      </c>
      <c r="AJ115" s="122">
        <f>客服部最终提成计算表!$X117*0.15*0.8*0.05*'18年合同登记表'!AH144/'18年合同登记表'!$M144</f>
        <v>0</v>
      </c>
      <c r="AK115" s="122">
        <f>客服部最终提成计算表!$X117*0.15*0.8*0.02*'18年合同登记表'!AH144/'18年合同登记表'!$M144</f>
        <v>0</v>
      </c>
      <c r="AL115" s="122">
        <f>客服部最终提成计算表!$X117*0.15*0.8*0.85*'18年合同登记表'!AJ144/'18年合同登记表'!$M144</f>
        <v>0</v>
      </c>
      <c r="AM115" s="122">
        <f>客服部最终提成计算表!$X117*0.15*0.8*0.08*'18年合同登记表'!AJ144/'18年合同登记表'!$M144</f>
        <v>0</v>
      </c>
      <c r="AN115" s="122">
        <f>客服部最终提成计算表!$X117*0.15*0.8*0.05*'18年合同登记表'!AJ144/'18年合同登记表'!$M144</f>
        <v>0</v>
      </c>
      <c r="AO115" s="122">
        <f>客服部最终提成计算表!$X117*0.15*0.8*0.02*'18年合同登记表'!AJ144/'18年合同登记表'!$M144</f>
        <v>0</v>
      </c>
      <c r="AP115" s="122">
        <f>客服部最终提成计算表!$X117*0.15*0.8*0.85*'18年合同登记表'!AL144/'18年合同登记表'!$M144</f>
        <v>0</v>
      </c>
      <c r="AQ115" s="122">
        <f>客服部最终提成计算表!$X117*0.15*0.8*0.08*'18年合同登记表'!AL144/'18年合同登记表'!$M144</f>
        <v>0</v>
      </c>
      <c r="AR115" s="122">
        <f>客服部最终提成计算表!$X117*0.15*0.8*0.05*'18年合同登记表'!AL144/'18年合同登记表'!$M144</f>
        <v>0</v>
      </c>
      <c r="AS115" s="122">
        <f>客服部最终提成计算表!$X117*0.15*0.8*0.02*'18年合同登记表'!AL144/'18年合同登记表'!$M144</f>
        <v>0</v>
      </c>
      <c r="AT115" s="122">
        <f>客服部最终提成计算表!$X117*0.15*0.8*0.85*'18年合同登记表'!AN144/'18年合同登记表'!$M144</f>
        <v>0</v>
      </c>
      <c r="AU115" s="122">
        <f>客服部最终提成计算表!$X117*0.15*0.8*0.08*'18年合同登记表'!AN144/'18年合同登记表'!$M144</f>
        <v>0</v>
      </c>
      <c r="AV115" s="122">
        <f>客服部最终提成计算表!$X117*0.15*0.8*0.05*'18年合同登记表'!AN144/'18年合同登记表'!$M144</f>
        <v>0</v>
      </c>
      <c r="AW115" s="122">
        <f>客服部最终提成计算表!$X117*0.15*0.8*0.02*'18年合同登记表'!AN144/'18年合同登记表'!$M144</f>
        <v>0</v>
      </c>
      <c r="AX115" s="122">
        <f>客服部最终提成计算表!$X117*0.15*0.8*0.85*'18年合同登记表'!AP144/'18年合同登记表'!$M144</f>
        <v>0</v>
      </c>
      <c r="AY115" s="122">
        <f>客服部最终提成计算表!$X117*0.15*0.8*0.08*'18年合同登记表'!AP144/'18年合同登记表'!$M144</f>
        <v>0</v>
      </c>
      <c r="AZ115" s="122">
        <f>客服部最终提成计算表!$X117*0.15*0.8*0.05*'18年合同登记表'!AP144/'18年合同登记表'!$M144</f>
        <v>0</v>
      </c>
      <c r="BA115" s="131">
        <f>客服部最终提成计算表!$X117*0.15*0.8*0.02*'18年合同登记表'!AP144/'18年合同登记表'!$M144</f>
        <v>0</v>
      </c>
    </row>
    <row r="116" s="104" customFormat="1" ht="14.25" spans="1:53">
      <c r="A116" s="117"/>
      <c r="B116" s="118" t="str">
        <f>'18年合同登记表'!F145</f>
        <v>艾福亿维</v>
      </c>
      <c r="C116" s="119" t="str">
        <f>'18年合同登记表'!H145</f>
        <v>NHY-20180913-L-01-02-030</v>
      </c>
      <c r="D116" s="119" t="str">
        <f>'18年合同登记表'!I145</f>
        <v>螺杆机维保</v>
      </c>
      <c r="E116" s="120" t="str">
        <f>'18年合同登记表'!L145</f>
        <v>陈勇</v>
      </c>
      <c r="F116" s="121">
        <f>客服部最终提成计算表!$X118*0.15*0.8*0.85*'18年合同登记表'!T145/'18年合同登记表'!$M145</f>
        <v>0</v>
      </c>
      <c r="G116" s="122">
        <f>客服部最终提成计算表!$X118*0.15*0.8*0.08*'18年合同登记表'!T145/'18年合同登记表'!$M145</f>
        <v>0</v>
      </c>
      <c r="H116" s="122">
        <f>客服部最终提成计算表!$X118*0.15*0.8*0.05*'18年合同登记表'!T145/'18年合同登记表'!$M145</f>
        <v>0</v>
      </c>
      <c r="I116" s="122">
        <f>客服部最终提成计算表!$X118*0.15*0.8*0.02*'18年合同登记表'!T145/'18年合同登记表'!$M145</f>
        <v>0</v>
      </c>
      <c r="J116" s="122">
        <f>客服部最终提成计算表!$X118*0.15*0.8*0.85*'18年合同登记表'!V145/'18年合同登记表'!$M145</f>
        <v>0</v>
      </c>
      <c r="K116" s="122">
        <f>客服部最终提成计算表!$X118*0.15*0.8*0.08*'18年合同登记表'!V145/'18年合同登记表'!$M145</f>
        <v>0</v>
      </c>
      <c r="L116" s="122">
        <f>客服部最终提成计算表!$X118*0.15*0.8*0.05*'18年合同登记表'!V145/'18年合同登记表'!$M145</f>
        <v>0</v>
      </c>
      <c r="M116" s="122">
        <f>客服部最终提成计算表!$X118*0.15*0.8*0.02*'18年合同登记表'!V145/'18年合同登记表'!$M145</f>
        <v>0</v>
      </c>
      <c r="N116" s="122">
        <f>客服部最终提成计算表!$X118*0.15*0.8*0.85*'18年合同登记表'!X145/'18年合同登记表'!$M145</f>
        <v>0</v>
      </c>
      <c r="O116" s="122">
        <f>客服部最终提成计算表!$X118*0.15*0.8*0.08*'18年合同登记表'!X145/'18年合同登记表'!$M145</f>
        <v>0</v>
      </c>
      <c r="P116" s="122">
        <f>客服部最终提成计算表!$X118*0.15*0.8*0.05*'18年合同登记表'!X145/'18年合同登记表'!$M145</f>
        <v>0</v>
      </c>
      <c r="Q116" s="122">
        <f>客服部最终提成计算表!$X118*0.15*0.8*0.02*'18年合同登记表'!X145/'18年合同登记表'!$M145</f>
        <v>0</v>
      </c>
      <c r="R116" s="122">
        <f>客服部最终提成计算表!$X118*0.15*0.8*0.85*'18年合同登记表'!Z145/'18年合同登记表'!$M145</f>
        <v>0</v>
      </c>
      <c r="S116" s="122">
        <f>客服部最终提成计算表!$X118*0.15*0.8*0.08*'18年合同登记表'!Z145/'18年合同登记表'!$M145</f>
        <v>0</v>
      </c>
      <c r="T116" s="122">
        <f>客服部最终提成计算表!$X118*0.15*0.8*0.05*'18年合同登记表'!Z145/'18年合同登记表'!$M145</f>
        <v>0</v>
      </c>
      <c r="U116" s="122">
        <f>客服部最终提成计算表!$X118*0.15*0.8*0.02*'18年合同登记表'!Z145/'18年合同登记表'!$M145</f>
        <v>0</v>
      </c>
      <c r="V116" s="122">
        <f>客服部最终提成计算表!$X118*0.15*0.8*0.85*'18年合同登记表'!AB145/'18年合同登记表'!$M145</f>
        <v>0</v>
      </c>
      <c r="W116" s="122">
        <f>客服部最终提成计算表!$X118*0.15*0.8*0.08*'18年合同登记表'!AB145/'18年合同登记表'!$M145</f>
        <v>0</v>
      </c>
      <c r="X116" s="122">
        <f>客服部最终提成计算表!$X118*0.15*0.8*0.05*'18年合同登记表'!AB145/'18年合同登记表'!$M145</f>
        <v>0</v>
      </c>
      <c r="Y116" s="122">
        <f>客服部最终提成计算表!$X118*0.15*0.8*0.02*'18年合同登记表'!AB145/'18年合同登记表'!$M145</f>
        <v>0</v>
      </c>
      <c r="Z116" s="122">
        <f>客服部最终提成计算表!$X118*0.15*0.8*0.85*'18年合同登记表'!AD145/'18年合同登记表'!$M145</f>
        <v>0</v>
      </c>
      <c r="AA116" s="122">
        <f>客服部最终提成计算表!$X118*0.15*0.8*0.08*'18年合同登记表'!AD145/'18年合同登记表'!$M145</f>
        <v>0</v>
      </c>
      <c r="AB116" s="122">
        <f>客服部最终提成计算表!$X118*0.15*0.8*0.05*'18年合同登记表'!AD145/'18年合同登记表'!$M145</f>
        <v>0</v>
      </c>
      <c r="AC116" s="122">
        <f>客服部最终提成计算表!$X118*0.15*0.8*0.02*'18年合同登记表'!AD145/'18年合同登记表'!$M145</f>
        <v>0</v>
      </c>
      <c r="AD116" s="122">
        <f>客服部最终提成计算表!$X118*0.15*0.8*0.85*'18年合同登记表'!AF145/'18年合同登记表'!$M145</f>
        <v>0</v>
      </c>
      <c r="AE116" s="122">
        <f>客服部最终提成计算表!$X118*0.15*0.8*0.08*'18年合同登记表'!AF145/'18年合同登记表'!$M145</f>
        <v>0</v>
      </c>
      <c r="AF116" s="122">
        <f>客服部最终提成计算表!$X118*0.15*0.8*0.05*'18年合同登记表'!AF145/'18年合同登记表'!$M145</f>
        <v>0</v>
      </c>
      <c r="AG116" s="122">
        <f>客服部最终提成计算表!$X118*0.15*0.8*0.02*'18年合同登记表'!AF145/'18年合同登记表'!$M145</f>
        <v>0</v>
      </c>
      <c r="AH116" s="122">
        <f>客服部最终提成计算表!$X118*0.15*0.8*0.85*'18年合同登记表'!AH145/'18年合同登记表'!$M145</f>
        <v>0</v>
      </c>
      <c r="AI116" s="122">
        <f>客服部最终提成计算表!$X118*0.15*0.8*0.08*'18年合同登记表'!AH145/'18年合同登记表'!$M145</f>
        <v>0</v>
      </c>
      <c r="AJ116" s="122">
        <f>客服部最终提成计算表!$X118*0.15*0.8*0.05*'18年合同登记表'!AH145/'18年合同登记表'!$M145</f>
        <v>0</v>
      </c>
      <c r="AK116" s="122">
        <f>客服部最终提成计算表!$X118*0.15*0.8*0.02*'18年合同登记表'!AH145/'18年合同登记表'!$M145</f>
        <v>0</v>
      </c>
      <c r="AL116" s="122">
        <f>客服部最终提成计算表!$X118*0.15*0.8*0.85*'18年合同登记表'!AJ145/'18年合同登记表'!$M145</f>
        <v>0</v>
      </c>
      <c r="AM116" s="122">
        <f>客服部最终提成计算表!$X118*0.15*0.8*0.08*'18年合同登记表'!AJ145/'18年合同登记表'!$M145</f>
        <v>0</v>
      </c>
      <c r="AN116" s="122">
        <f>客服部最终提成计算表!$X118*0.15*0.8*0.05*'18年合同登记表'!AJ145/'18年合同登记表'!$M145</f>
        <v>0</v>
      </c>
      <c r="AO116" s="122">
        <f>客服部最终提成计算表!$X118*0.15*0.8*0.02*'18年合同登记表'!AJ145/'18年合同登记表'!$M145</f>
        <v>0</v>
      </c>
      <c r="AP116" s="122">
        <f>客服部最终提成计算表!$X118*0.15*0.8*0.85*'18年合同登记表'!AL145/'18年合同登记表'!$M145</f>
        <v>0</v>
      </c>
      <c r="AQ116" s="122">
        <f>客服部最终提成计算表!$X118*0.15*0.8*0.08*'18年合同登记表'!AL145/'18年合同登记表'!$M145</f>
        <v>0</v>
      </c>
      <c r="AR116" s="122">
        <f>客服部最终提成计算表!$X118*0.15*0.8*0.05*'18年合同登记表'!AL145/'18年合同登记表'!$M145</f>
        <v>0</v>
      </c>
      <c r="AS116" s="122">
        <f>客服部最终提成计算表!$X118*0.15*0.8*0.02*'18年合同登记表'!AL145/'18年合同登记表'!$M145</f>
        <v>0</v>
      </c>
      <c r="AT116" s="122">
        <f>客服部最终提成计算表!$X118*0.15*0.8*0.85*'18年合同登记表'!AN145/'18年合同登记表'!$M145</f>
        <v>1989</v>
      </c>
      <c r="AU116" s="122">
        <f>客服部最终提成计算表!$X118*0.15*0.8*0.08*'18年合同登记表'!AN145/'18年合同登记表'!$M145</f>
        <v>187.2</v>
      </c>
      <c r="AV116" s="122">
        <f>客服部最终提成计算表!$X118*0.15*0.8*0.05*'18年合同登记表'!AN145/'18年合同登记表'!$M145</f>
        <v>117</v>
      </c>
      <c r="AW116" s="122">
        <f>客服部最终提成计算表!$X118*0.15*0.8*0.02*'18年合同登记表'!AN145/'18年合同登记表'!$M145</f>
        <v>46.8</v>
      </c>
      <c r="AX116" s="122">
        <f>客服部最终提成计算表!$X118*0.15*0.8*0.85*'18年合同登记表'!AP145/'18年合同登记表'!$M145</f>
        <v>0</v>
      </c>
      <c r="AY116" s="122">
        <f>客服部最终提成计算表!$X118*0.15*0.8*0.08*'18年合同登记表'!AP145/'18年合同登记表'!$M145</f>
        <v>0</v>
      </c>
      <c r="AZ116" s="122">
        <f>客服部最终提成计算表!$X118*0.15*0.8*0.05*'18年合同登记表'!AP145/'18年合同登记表'!$M145</f>
        <v>0</v>
      </c>
      <c r="BA116" s="131">
        <f>客服部最终提成计算表!$X118*0.15*0.8*0.02*'18年合同登记表'!AP145/'18年合同登记表'!$M145</f>
        <v>0</v>
      </c>
    </row>
    <row r="117" s="104" customFormat="1" ht="14.25" spans="1:53">
      <c r="A117" s="117"/>
      <c r="B117" s="118" t="str">
        <f>'18年合同登记表'!F146</f>
        <v>古文化广场</v>
      </c>
      <c r="C117" s="119" t="str">
        <f>'18年合同登记表'!H146</f>
        <v>RHGC-2018-10-19</v>
      </c>
      <c r="D117" s="119" t="str">
        <f>'18年合同登记表'!I146</f>
        <v>空调管道改造合同</v>
      </c>
      <c r="E117" s="120" t="str">
        <f>'18年合同登记表'!L146</f>
        <v>王东东</v>
      </c>
      <c r="F117" s="121" t="e">
        <f>客服部最终提成计算表!$X119*0.15*0.8*0.85*'18年合同登记表'!T146/'18年合同登记表'!$M146</f>
        <v>#VALUE!</v>
      </c>
      <c r="G117" s="122" t="e">
        <f>客服部最终提成计算表!$X119*0.15*0.8*0.08*'18年合同登记表'!T146/'18年合同登记表'!$M146</f>
        <v>#VALUE!</v>
      </c>
      <c r="H117" s="122" t="e">
        <f>客服部最终提成计算表!$X119*0.15*0.8*0.05*'18年合同登记表'!T146/'18年合同登记表'!$M146</f>
        <v>#VALUE!</v>
      </c>
      <c r="I117" s="122" t="e">
        <f>客服部最终提成计算表!$X119*0.15*0.8*0.02*'18年合同登记表'!T146/'18年合同登记表'!$M146</f>
        <v>#VALUE!</v>
      </c>
      <c r="J117" s="122">
        <f>客服部最终提成计算表!$X119*0.15*0.8*0.85*'18年合同登记表'!V146/'18年合同登记表'!$M146</f>
        <v>0</v>
      </c>
      <c r="K117" s="122">
        <f>客服部最终提成计算表!$X119*0.15*0.8*0.08*'18年合同登记表'!V146/'18年合同登记表'!$M146</f>
        <v>0</v>
      </c>
      <c r="L117" s="122">
        <f>客服部最终提成计算表!$X119*0.15*0.8*0.05*'18年合同登记表'!V146/'18年合同登记表'!$M146</f>
        <v>0</v>
      </c>
      <c r="M117" s="122">
        <f>客服部最终提成计算表!$X119*0.15*0.8*0.02*'18年合同登记表'!V146/'18年合同登记表'!$M146</f>
        <v>0</v>
      </c>
      <c r="N117" s="122">
        <f>客服部最终提成计算表!$X119*0.15*0.8*0.85*'18年合同登记表'!X146/'18年合同登记表'!$M146</f>
        <v>0</v>
      </c>
      <c r="O117" s="122">
        <f>客服部最终提成计算表!$X119*0.15*0.8*0.08*'18年合同登记表'!X146/'18年合同登记表'!$M146</f>
        <v>0</v>
      </c>
      <c r="P117" s="122">
        <f>客服部最终提成计算表!$X119*0.15*0.8*0.05*'18年合同登记表'!X146/'18年合同登记表'!$M146</f>
        <v>0</v>
      </c>
      <c r="Q117" s="122">
        <f>客服部最终提成计算表!$X119*0.15*0.8*0.02*'18年合同登记表'!X146/'18年合同登记表'!$M146</f>
        <v>0</v>
      </c>
      <c r="R117" s="122">
        <f>客服部最终提成计算表!$X119*0.15*0.8*0.85*'18年合同登记表'!Z146/'18年合同登记表'!$M146</f>
        <v>0</v>
      </c>
      <c r="S117" s="122">
        <f>客服部最终提成计算表!$X119*0.15*0.8*0.08*'18年合同登记表'!Z146/'18年合同登记表'!$M146</f>
        <v>0</v>
      </c>
      <c r="T117" s="122">
        <f>客服部最终提成计算表!$X119*0.15*0.8*0.05*'18年合同登记表'!Z146/'18年合同登记表'!$M146</f>
        <v>0</v>
      </c>
      <c r="U117" s="122">
        <f>客服部最终提成计算表!$X119*0.15*0.8*0.02*'18年合同登记表'!Z146/'18年合同登记表'!$M146</f>
        <v>0</v>
      </c>
      <c r="V117" s="122">
        <f>客服部最终提成计算表!$X119*0.15*0.8*0.85*'18年合同登记表'!AB146/'18年合同登记表'!$M146</f>
        <v>0</v>
      </c>
      <c r="W117" s="122">
        <f>客服部最终提成计算表!$X119*0.15*0.8*0.08*'18年合同登记表'!AB146/'18年合同登记表'!$M146</f>
        <v>0</v>
      </c>
      <c r="X117" s="122">
        <f>客服部最终提成计算表!$X119*0.15*0.8*0.05*'18年合同登记表'!AB146/'18年合同登记表'!$M146</f>
        <v>0</v>
      </c>
      <c r="Y117" s="122">
        <f>客服部最终提成计算表!$X119*0.15*0.8*0.02*'18年合同登记表'!AB146/'18年合同登记表'!$M146</f>
        <v>0</v>
      </c>
      <c r="Z117" s="122">
        <f>客服部最终提成计算表!$X119*0.15*0.8*0.85*'18年合同登记表'!AD146/'18年合同登记表'!$M146</f>
        <v>0</v>
      </c>
      <c r="AA117" s="122">
        <f>客服部最终提成计算表!$X119*0.15*0.8*0.08*'18年合同登记表'!AD146/'18年合同登记表'!$M146</f>
        <v>0</v>
      </c>
      <c r="AB117" s="122">
        <f>客服部最终提成计算表!$X119*0.15*0.8*0.05*'18年合同登记表'!AD146/'18年合同登记表'!$M146</f>
        <v>0</v>
      </c>
      <c r="AC117" s="122">
        <f>客服部最终提成计算表!$X119*0.15*0.8*0.02*'18年合同登记表'!AD146/'18年合同登记表'!$M146</f>
        <v>0</v>
      </c>
      <c r="AD117" s="122">
        <f>客服部最终提成计算表!$X119*0.15*0.8*0.85*'18年合同登记表'!AF146/'18年合同登记表'!$M146</f>
        <v>0</v>
      </c>
      <c r="AE117" s="122">
        <f>客服部最终提成计算表!$X119*0.15*0.8*0.08*'18年合同登记表'!AF146/'18年合同登记表'!$M146</f>
        <v>0</v>
      </c>
      <c r="AF117" s="122">
        <f>客服部最终提成计算表!$X119*0.15*0.8*0.05*'18年合同登记表'!AF146/'18年合同登记表'!$M146</f>
        <v>0</v>
      </c>
      <c r="AG117" s="122">
        <f>客服部最终提成计算表!$X119*0.15*0.8*0.02*'18年合同登记表'!AF146/'18年合同登记表'!$M146</f>
        <v>0</v>
      </c>
      <c r="AH117" s="122">
        <f>客服部最终提成计算表!$X119*0.15*0.8*0.85*'18年合同登记表'!AH146/'18年合同登记表'!$M146</f>
        <v>0</v>
      </c>
      <c r="AI117" s="122">
        <f>客服部最终提成计算表!$X119*0.15*0.8*0.08*'18年合同登记表'!AH146/'18年合同登记表'!$M146</f>
        <v>0</v>
      </c>
      <c r="AJ117" s="122">
        <f>客服部最终提成计算表!$X119*0.15*0.8*0.05*'18年合同登记表'!AH146/'18年合同登记表'!$M146</f>
        <v>0</v>
      </c>
      <c r="AK117" s="122">
        <f>客服部最终提成计算表!$X119*0.15*0.8*0.02*'18年合同登记表'!AH146/'18年合同登记表'!$M146</f>
        <v>0</v>
      </c>
      <c r="AL117" s="122">
        <f>客服部最终提成计算表!$X119*0.15*0.8*0.85*'18年合同登记表'!AJ146/'18年合同登记表'!$M146</f>
        <v>0</v>
      </c>
      <c r="AM117" s="122">
        <f>客服部最终提成计算表!$X119*0.15*0.8*0.08*'18年合同登记表'!AJ146/'18年合同登记表'!$M146</f>
        <v>0</v>
      </c>
      <c r="AN117" s="122">
        <f>客服部最终提成计算表!$X119*0.15*0.8*0.05*'18年合同登记表'!AJ146/'18年合同登记表'!$M146</f>
        <v>0</v>
      </c>
      <c r="AO117" s="122">
        <f>客服部最终提成计算表!$X119*0.15*0.8*0.02*'18年合同登记表'!AJ146/'18年合同登记表'!$M146</f>
        <v>0</v>
      </c>
      <c r="AP117" s="122">
        <f>客服部最终提成计算表!$X119*0.15*0.8*0.85*'18年合同登记表'!AL146/'18年合同登记表'!$M146</f>
        <v>2448</v>
      </c>
      <c r="AQ117" s="122">
        <f>客服部最终提成计算表!$X119*0.15*0.8*0.08*'18年合同登记表'!AL146/'18年合同登记表'!$M146</f>
        <v>230.4</v>
      </c>
      <c r="AR117" s="122">
        <f>客服部最终提成计算表!$X119*0.15*0.8*0.05*'18年合同登记表'!AL146/'18年合同登记表'!$M146</f>
        <v>144</v>
      </c>
      <c r="AS117" s="122">
        <f>客服部最终提成计算表!$X119*0.15*0.8*0.02*'18年合同登记表'!AL146/'18年合同登记表'!$M146</f>
        <v>57.6</v>
      </c>
      <c r="AT117" s="122">
        <f>客服部最终提成计算表!$X119*0.15*0.8*0.85*'18年合同登记表'!AN146/'18年合同登记表'!$M146</f>
        <v>1632</v>
      </c>
      <c r="AU117" s="122">
        <f>客服部最终提成计算表!$X119*0.15*0.8*0.08*'18年合同登记表'!AN146/'18年合同登记表'!$M146</f>
        <v>153.6</v>
      </c>
      <c r="AV117" s="122">
        <f>客服部最终提成计算表!$X119*0.15*0.8*0.05*'18年合同登记表'!AN146/'18年合同登记表'!$M146</f>
        <v>96</v>
      </c>
      <c r="AW117" s="122">
        <f>客服部最终提成计算表!$X119*0.15*0.8*0.02*'18年合同登记表'!AN146/'18年合同登记表'!$M146</f>
        <v>38.4</v>
      </c>
      <c r="AX117" s="122">
        <f>客服部最终提成计算表!$X119*0.15*0.8*0.85*'18年合同登记表'!AP146/'18年合同登记表'!$M146</f>
        <v>0</v>
      </c>
      <c r="AY117" s="122">
        <f>客服部最终提成计算表!$X119*0.15*0.8*0.08*'18年合同登记表'!AP146/'18年合同登记表'!$M146</f>
        <v>0</v>
      </c>
      <c r="AZ117" s="122">
        <f>客服部最终提成计算表!$X119*0.15*0.8*0.05*'18年合同登记表'!AP146/'18年合同登记表'!$M146</f>
        <v>0</v>
      </c>
      <c r="BA117" s="131">
        <f>客服部最终提成计算表!$X119*0.15*0.8*0.02*'18年合同登记表'!AP146/'18年合同登记表'!$M146</f>
        <v>0</v>
      </c>
    </row>
    <row r="118" s="104" customFormat="1" ht="14.25" spans="1:53">
      <c r="A118" s="117"/>
      <c r="B118" s="118" t="str">
        <f>'18年合同登记表'!F149</f>
        <v>聚富宫</v>
      </c>
      <c r="C118" s="119" t="str">
        <f>'18年合同登记表'!H149</f>
        <v>RH-20181019-L-01-01-049</v>
      </c>
      <c r="D118" s="119" t="str">
        <f>'18年合同登记表'!I149</f>
        <v>更换溶液泵</v>
      </c>
      <c r="E118" s="120" t="str">
        <f>'18年合同登记表'!L149</f>
        <v>陈勇</v>
      </c>
      <c r="F118" s="121">
        <f>客服部最终提成计算表!$X120*0.15*0.8*0.85*'18年合同登记表'!T149/'18年合同登记表'!$M149</f>
        <v>0</v>
      </c>
      <c r="G118" s="122">
        <f>客服部最终提成计算表!$X120*0.15*0.8*0.08*'18年合同登记表'!T149/'18年合同登记表'!$M149</f>
        <v>0</v>
      </c>
      <c r="H118" s="122">
        <f>客服部最终提成计算表!$X120*0.15*0.8*0.05*'18年合同登记表'!T149/'18年合同登记表'!$M149</f>
        <v>0</v>
      </c>
      <c r="I118" s="122">
        <f>客服部最终提成计算表!$X120*0.15*0.8*0.02*'18年合同登记表'!T149/'18年合同登记表'!$M149</f>
        <v>0</v>
      </c>
      <c r="J118" s="122">
        <f>客服部最终提成计算表!$X120*0.15*0.8*0.85*'18年合同登记表'!V149/'18年合同登记表'!$M149</f>
        <v>0</v>
      </c>
      <c r="K118" s="122">
        <f>客服部最终提成计算表!$X120*0.15*0.8*0.08*'18年合同登记表'!V149/'18年合同登记表'!$M149</f>
        <v>0</v>
      </c>
      <c r="L118" s="122">
        <f>客服部最终提成计算表!$X120*0.15*0.8*0.05*'18年合同登记表'!V149/'18年合同登记表'!$M149</f>
        <v>0</v>
      </c>
      <c r="M118" s="122">
        <f>客服部最终提成计算表!$X120*0.15*0.8*0.02*'18年合同登记表'!V149/'18年合同登记表'!$M149</f>
        <v>0</v>
      </c>
      <c r="N118" s="122">
        <f>客服部最终提成计算表!$X120*0.15*0.8*0.85*'18年合同登记表'!X149/'18年合同登记表'!$M149</f>
        <v>0</v>
      </c>
      <c r="O118" s="122">
        <f>客服部最终提成计算表!$X120*0.15*0.8*0.08*'18年合同登记表'!X149/'18年合同登记表'!$M149</f>
        <v>0</v>
      </c>
      <c r="P118" s="122">
        <f>客服部最终提成计算表!$X120*0.15*0.8*0.05*'18年合同登记表'!X149/'18年合同登记表'!$M149</f>
        <v>0</v>
      </c>
      <c r="Q118" s="122">
        <f>客服部最终提成计算表!$X120*0.15*0.8*0.02*'18年合同登记表'!X149/'18年合同登记表'!$M149</f>
        <v>0</v>
      </c>
      <c r="R118" s="122">
        <f>客服部最终提成计算表!$X120*0.15*0.8*0.85*'18年合同登记表'!Z149/'18年合同登记表'!$M149</f>
        <v>0</v>
      </c>
      <c r="S118" s="122">
        <f>客服部最终提成计算表!$X120*0.15*0.8*0.08*'18年合同登记表'!Z149/'18年合同登记表'!$M149</f>
        <v>0</v>
      </c>
      <c r="T118" s="122">
        <f>客服部最终提成计算表!$X120*0.15*0.8*0.05*'18年合同登记表'!Z149/'18年合同登记表'!$M149</f>
        <v>0</v>
      </c>
      <c r="U118" s="122">
        <f>客服部最终提成计算表!$X120*0.15*0.8*0.02*'18年合同登记表'!Z149/'18年合同登记表'!$M149</f>
        <v>0</v>
      </c>
      <c r="V118" s="122">
        <f>客服部最终提成计算表!$X120*0.15*0.8*0.85*'18年合同登记表'!AB149/'18年合同登记表'!$M149</f>
        <v>0</v>
      </c>
      <c r="W118" s="122">
        <f>客服部最终提成计算表!$X120*0.15*0.8*0.08*'18年合同登记表'!AB149/'18年合同登记表'!$M149</f>
        <v>0</v>
      </c>
      <c r="X118" s="122">
        <f>客服部最终提成计算表!$X120*0.15*0.8*0.05*'18年合同登记表'!AB149/'18年合同登记表'!$M149</f>
        <v>0</v>
      </c>
      <c r="Y118" s="122">
        <f>客服部最终提成计算表!$X120*0.15*0.8*0.02*'18年合同登记表'!AB149/'18年合同登记表'!$M149</f>
        <v>0</v>
      </c>
      <c r="Z118" s="122">
        <f>客服部最终提成计算表!$X120*0.15*0.8*0.85*'18年合同登记表'!AD149/'18年合同登记表'!$M149</f>
        <v>0</v>
      </c>
      <c r="AA118" s="122">
        <f>客服部最终提成计算表!$X120*0.15*0.8*0.08*'18年合同登记表'!AD149/'18年合同登记表'!$M149</f>
        <v>0</v>
      </c>
      <c r="AB118" s="122">
        <f>客服部最终提成计算表!$X120*0.15*0.8*0.05*'18年合同登记表'!AD149/'18年合同登记表'!$M149</f>
        <v>0</v>
      </c>
      <c r="AC118" s="122">
        <f>客服部最终提成计算表!$X120*0.15*0.8*0.02*'18年合同登记表'!AD149/'18年合同登记表'!$M149</f>
        <v>0</v>
      </c>
      <c r="AD118" s="122">
        <f>客服部最终提成计算表!$X120*0.15*0.8*0.85*'18年合同登记表'!AF149/'18年合同登记表'!$M149</f>
        <v>0</v>
      </c>
      <c r="AE118" s="122">
        <f>客服部最终提成计算表!$X120*0.15*0.8*0.08*'18年合同登记表'!AF149/'18年合同登记表'!$M149</f>
        <v>0</v>
      </c>
      <c r="AF118" s="122">
        <f>客服部最终提成计算表!$X120*0.15*0.8*0.05*'18年合同登记表'!AF149/'18年合同登记表'!$M149</f>
        <v>0</v>
      </c>
      <c r="AG118" s="122">
        <f>客服部最终提成计算表!$X120*0.15*0.8*0.02*'18年合同登记表'!AF149/'18年合同登记表'!$M149</f>
        <v>0</v>
      </c>
      <c r="AH118" s="122">
        <f>客服部最终提成计算表!$X120*0.15*0.8*0.85*'18年合同登记表'!AH149/'18年合同登记表'!$M149</f>
        <v>0</v>
      </c>
      <c r="AI118" s="122">
        <f>客服部最终提成计算表!$X120*0.15*0.8*0.08*'18年合同登记表'!AH149/'18年合同登记表'!$M149</f>
        <v>0</v>
      </c>
      <c r="AJ118" s="122">
        <f>客服部最终提成计算表!$X120*0.15*0.8*0.05*'18年合同登记表'!AH149/'18年合同登记表'!$M149</f>
        <v>0</v>
      </c>
      <c r="AK118" s="122">
        <f>客服部最终提成计算表!$X120*0.15*0.8*0.02*'18年合同登记表'!AH149/'18年合同登记表'!$M149</f>
        <v>0</v>
      </c>
      <c r="AL118" s="122">
        <f>客服部最终提成计算表!$X120*0.15*0.8*0.85*'18年合同登记表'!AJ149/'18年合同登记表'!$M149</f>
        <v>0</v>
      </c>
      <c r="AM118" s="122">
        <f>客服部最终提成计算表!$X120*0.15*0.8*0.08*'18年合同登记表'!AJ149/'18年合同登记表'!$M149</f>
        <v>0</v>
      </c>
      <c r="AN118" s="122">
        <f>客服部最终提成计算表!$X120*0.15*0.8*0.05*'18年合同登记表'!AJ149/'18年合同登记表'!$M149</f>
        <v>0</v>
      </c>
      <c r="AO118" s="122">
        <f>客服部最终提成计算表!$X120*0.15*0.8*0.02*'18年合同登记表'!AJ149/'18年合同登记表'!$M149</f>
        <v>0</v>
      </c>
      <c r="AP118" s="122">
        <f>客服部最终提成计算表!$X120*0.15*0.8*0.85*'18年合同登记表'!AL149/'18年合同登记表'!$M149</f>
        <v>1224</v>
      </c>
      <c r="AQ118" s="122">
        <f>客服部最终提成计算表!$X120*0.15*0.8*0.08*'18年合同登记表'!AL149/'18年合同登记表'!$M149</f>
        <v>115.2</v>
      </c>
      <c r="AR118" s="122">
        <f>客服部最终提成计算表!$X120*0.15*0.8*0.05*'18年合同登记表'!AL149/'18年合同登记表'!$M149</f>
        <v>72</v>
      </c>
      <c r="AS118" s="122">
        <f>客服部最终提成计算表!$X120*0.15*0.8*0.02*'18年合同登记表'!AL149/'18年合同登记表'!$M149</f>
        <v>28.8</v>
      </c>
      <c r="AT118" s="122">
        <f>客服部最终提成计算表!$X120*0.15*0.8*0.85*'18年合同登记表'!AN149/'18年合同登记表'!$M149</f>
        <v>0</v>
      </c>
      <c r="AU118" s="122">
        <f>客服部最终提成计算表!$X120*0.15*0.8*0.08*'18年合同登记表'!AN149/'18年合同登记表'!$M149</f>
        <v>0</v>
      </c>
      <c r="AV118" s="122">
        <f>客服部最终提成计算表!$X120*0.15*0.8*0.05*'18年合同登记表'!AN149/'18年合同登记表'!$M149</f>
        <v>0</v>
      </c>
      <c r="AW118" s="122">
        <f>客服部最终提成计算表!$X120*0.15*0.8*0.02*'18年合同登记表'!AN149/'18年合同登记表'!$M149</f>
        <v>0</v>
      </c>
      <c r="AX118" s="122">
        <f>客服部最终提成计算表!$X120*0.15*0.8*0.85*'18年合同登记表'!AP149/'18年合同登记表'!$M149</f>
        <v>0</v>
      </c>
      <c r="AY118" s="122">
        <f>客服部最终提成计算表!$X120*0.15*0.8*0.08*'18年合同登记表'!AP149/'18年合同登记表'!$M149</f>
        <v>0</v>
      </c>
      <c r="AZ118" s="122">
        <f>客服部最终提成计算表!$X120*0.15*0.8*0.05*'18年合同登记表'!AP149/'18年合同登记表'!$M149</f>
        <v>0</v>
      </c>
      <c r="BA118" s="131">
        <f>客服部最终提成计算表!$X120*0.15*0.8*0.02*'18年合同登记表'!AP149/'18年合同登记表'!$M149</f>
        <v>0</v>
      </c>
    </row>
    <row r="119" s="104" customFormat="1" ht="14.25" spans="1:53">
      <c r="A119" s="117"/>
      <c r="B119" s="118" t="e">
        <f>'18年合同登记表'!#REF!</f>
        <v>#REF!</v>
      </c>
      <c r="C119" s="119" t="e">
        <f>'18年合同登记表'!#REF!</f>
        <v>#REF!</v>
      </c>
      <c r="D119" s="119" t="e">
        <f>'18年合同登记表'!#REF!</f>
        <v>#REF!</v>
      </c>
      <c r="E119" s="120" t="e">
        <f>'18年合同登记表'!#REF!</f>
        <v>#REF!</v>
      </c>
      <c r="F119" s="121" t="e">
        <f>客服部最终提成计算表!$X121*0.15*0.8*0.85*'18年合同登记表'!#REF!/'18年合同登记表'!#REF!</f>
        <v>#REF!</v>
      </c>
      <c r="G119" s="122" t="e">
        <f>客服部最终提成计算表!$X121*0.15*0.8*0.08*'18年合同登记表'!#REF!/'18年合同登记表'!#REF!</f>
        <v>#REF!</v>
      </c>
      <c r="H119" s="122" t="e">
        <f>客服部最终提成计算表!$X121*0.15*0.8*0.05*'18年合同登记表'!#REF!/'18年合同登记表'!#REF!</f>
        <v>#REF!</v>
      </c>
      <c r="I119" s="122" t="e">
        <f>客服部最终提成计算表!$X121*0.15*0.8*0.02*'18年合同登记表'!#REF!/'18年合同登记表'!#REF!</f>
        <v>#REF!</v>
      </c>
      <c r="J119" s="122" t="e">
        <f>客服部最终提成计算表!$X121*0.15*0.8*0.85*'18年合同登记表'!#REF!/'18年合同登记表'!#REF!</f>
        <v>#REF!</v>
      </c>
      <c r="K119" s="122" t="e">
        <f>客服部最终提成计算表!$X121*0.15*0.8*0.08*'18年合同登记表'!#REF!/'18年合同登记表'!#REF!</f>
        <v>#REF!</v>
      </c>
      <c r="L119" s="122" t="e">
        <f>客服部最终提成计算表!$X121*0.15*0.8*0.05*'18年合同登记表'!#REF!/'18年合同登记表'!#REF!</f>
        <v>#REF!</v>
      </c>
      <c r="M119" s="122" t="e">
        <f>客服部最终提成计算表!$X121*0.15*0.8*0.02*'18年合同登记表'!#REF!/'18年合同登记表'!#REF!</f>
        <v>#REF!</v>
      </c>
      <c r="N119" s="122" t="e">
        <f>客服部最终提成计算表!$X121*0.15*0.8*0.85*'18年合同登记表'!#REF!/'18年合同登记表'!#REF!</f>
        <v>#REF!</v>
      </c>
      <c r="O119" s="122" t="e">
        <f>客服部最终提成计算表!$X121*0.15*0.8*0.08*'18年合同登记表'!#REF!/'18年合同登记表'!#REF!</f>
        <v>#REF!</v>
      </c>
      <c r="P119" s="122" t="e">
        <f>客服部最终提成计算表!$X121*0.15*0.8*0.05*'18年合同登记表'!#REF!/'18年合同登记表'!#REF!</f>
        <v>#REF!</v>
      </c>
      <c r="Q119" s="122" t="e">
        <f>客服部最终提成计算表!$X121*0.15*0.8*0.02*'18年合同登记表'!#REF!/'18年合同登记表'!#REF!</f>
        <v>#REF!</v>
      </c>
      <c r="R119" s="122" t="e">
        <f>客服部最终提成计算表!$X121*0.15*0.8*0.85*'18年合同登记表'!#REF!/'18年合同登记表'!#REF!</f>
        <v>#REF!</v>
      </c>
      <c r="S119" s="122" t="e">
        <f>客服部最终提成计算表!$X121*0.15*0.8*0.08*'18年合同登记表'!#REF!/'18年合同登记表'!#REF!</f>
        <v>#REF!</v>
      </c>
      <c r="T119" s="122" t="e">
        <f>客服部最终提成计算表!$X121*0.15*0.8*0.05*'18年合同登记表'!#REF!/'18年合同登记表'!#REF!</f>
        <v>#REF!</v>
      </c>
      <c r="U119" s="122" t="e">
        <f>客服部最终提成计算表!$X121*0.15*0.8*0.02*'18年合同登记表'!#REF!/'18年合同登记表'!#REF!</f>
        <v>#REF!</v>
      </c>
      <c r="V119" s="122" t="e">
        <f>客服部最终提成计算表!$X121*0.15*0.8*0.85*'18年合同登记表'!#REF!/'18年合同登记表'!#REF!</f>
        <v>#REF!</v>
      </c>
      <c r="W119" s="122" t="e">
        <f>客服部最终提成计算表!$X121*0.15*0.8*0.08*'18年合同登记表'!#REF!/'18年合同登记表'!#REF!</f>
        <v>#REF!</v>
      </c>
      <c r="X119" s="122" t="e">
        <f>客服部最终提成计算表!$X121*0.15*0.8*0.05*'18年合同登记表'!#REF!/'18年合同登记表'!#REF!</f>
        <v>#REF!</v>
      </c>
      <c r="Y119" s="122" t="e">
        <f>客服部最终提成计算表!$X121*0.15*0.8*0.02*'18年合同登记表'!#REF!/'18年合同登记表'!#REF!</f>
        <v>#REF!</v>
      </c>
      <c r="Z119" s="122" t="e">
        <f>客服部最终提成计算表!$X121*0.15*0.8*0.85*'18年合同登记表'!#REF!/'18年合同登记表'!#REF!</f>
        <v>#REF!</v>
      </c>
      <c r="AA119" s="122" t="e">
        <f>客服部最终提成计算表!$X121*0.15*0.8*0.08*'18年合同登记表'!#REF!/'18年合同登记表'!#REF!</f>
        <v>#REF!</v>
      </c>
      <c r="AB119" s="122" t="e">
        <f>客服部最终提成计算表!$X121*0.15*0.8*0.05*'18年合同登记表'!#REF!/'18年合同登记表'!#REF!</f>
        <v>#REF!</v>
      </c>
      <c r="AC119" s="122" t="e">
        <f>客服部最终提成计算表!$X121*0.15*0.8*0.02*'18年合同登记表'!#REF!/'18年合同登记表'!#REF!</f>
        <v>#REF!</v>
      </c>
      <c r="AD119" s="122" t="e">
        <f>客服部最终提成计算表!$X121*0.15*0.8*0.85*'18年合同登记表'!#REF!/'18年合同登记表'!#REF!</f>
        <v>#REF!</v>
      </c>
      <c r="AE119" s="122" t="e">
        <f>客服部最终提成计算表!$X121*0.15*0.8*0.08*'18年合同登记表'!#REF!/'18年合同登记表'!#REF!</f>
        <v>#REF!</v>
      </c>
      <c r="AF119" s="122" t="e">
        <f>客服部最终提成计算表!$X121*0.15*0.8*0.05*'18年合同登记表'!#REF!/'18年合同登记表'!#REF!</f>
        <v>#REF!</v>
      </c>
      <c r="AG119" s="122" t="e">
        <f>客服部最终提成计算表!$X121*0.15*0.8*0.02*'18年合同登记表'!#REF!/'18年合同登记表'!#REF!</f>
        <v>#REF!</v>
      </c>
      <c r="AH119" s="122" t="e">
        <f>客服部最终提成计算表!$X121*0.15*0.8*0.85*'18年合同登记表'!#REF!/'18年合同登记表'!#REF!</f>
        <v>#REF!</v>
      </c>
      <c r="AI119" s="122" t="e">
        <f>客服部最终提成计算表!$X121*0.15*0.8*0.08*'18年合同登记表'!#REF!/'18年合同登记表'!#REF!</f>
        <v>#REF!</v>
      </c>
      <c r="AJ119" s="122" t="e">
        <f>客服部最终提成计算表!$X121*0.15*0.8*0.05*'18年合同登记表'!#REF!/'18年合同登记表'!#REF!</f>
        <v>#REF!</v>
      </c>
      <c r="AK119" s="122" t="e">
        <f>客服部最终提成计算表!$X121*0.15*0.8*0.02*'18年合同登记表'!#REF!/'18年合同登记表'!#REF!</f>
        <v>#REF!</v>
      </c>
      <c r="AL119" s="122" t="e">
        <f>客服部最终提成计算表!$X121*0.15*0.8*0.85*'18年合同登记表'!#REF!/'18年合同登记表'!#REF!</f>
        <v>#REF!</v>
      </c>
      <c r="AM119" s="122" t="e">
        <f>客服部最终提成计算表!$X121*0.15*0.8*0.08*'18年合同登记表'!#REF!/'18年合同登记表'!#REF!</f>
        <v>#REF!</v>
      </c>
      <c r="AN119" s="122" t="e">
        <f>客服部最终提成计算表!$X121*0.15*0.8*0.05*'18年合同登记表'!#REF!/'18年合同登记表'!#REF!</f>
        <v>#REF!</v>
      </c>
      <c r="AO119" s="122" t="e">
        <f>客服部最终提成计算表!$X121*0.15*0.8*0.02*'18年合同登记表'!#REF!/'18年合同登记表'!#REF!</f>
        <v>#REF!</v>
      </c>
      <c r="AP119" s="122" t="e">
        <f>客服部最终提成计算表!$X121*0.15*0.8*0.85*'18年合同登记表'!#REF!/'18年合同登记表'!#REF!</f>
        <v>#REF!</v>
      </c>
      <c r="AQ119" s="122" t="e">
        <f>客服部最终提成计算表!$X121*0.15*0.8*0.08*'18年合同登记表'!#REF!/'18年合同登记表'!#REF!</f>
        <v>#REF!</v>
      </c>
      <c r="AR119" s="122" t="e">
        <f>客服部最终提成计算表!$X121*0.15*0.8*0.05*'18年合同登记表'!#REF!/'18年合同登记表'!#REF!</f>
        <v>#REF!</v>
      </c>
      <c r="AS119" s="122" t="e">
        <f>客服部最终提成计算表!$X121*0.15*0.8*0.02*'18年合同登记表'!#REF!/'18年合同登记表'!#REF!</f>
        <v>#REF!</v>
      </c>
      <c r="AT119" s="122" t="e">
        <f>客服部最终提成计算表!$X121*0.15*0.8*0.85*'18年合同登记表'!#REF!/'18年合同登记表'!#REF!</f>
        <v>#REF!</v>
      </c>
      <c r="AU119" s="122" t="e">
        <f>客服部最终提成计算表!$X121*0.15*0.8*0.08*'18年合同登记表'!#REF!/'18年合同登记表'!#REF!</f>
        <v>#REF!</v>
      </c>
      <c r="AV119" s="122" t="e">
        <f>客服部最终提成计算表!$X121*0.15*0.8*0.05*'18年合同登记表'!#REF!/'18年合同登记表'!#REF!</f>
        <v>#REF!</v>
      </c>
      <c r="AW119" s="122" t="e">
        <f>客服部最终提成计算表!$X121*0.15*0.8*0.02*'18年合同登记表'!#REF!/'18年合同登记表'!#REF!</f>
        <v>#REF!</v>
      </c>
      <c r="AX119" s="122" t="e">
        <f>客服部最终提成计算表!$X121*0.15*0.8*0.85*'18年合同登记表'!#REF!/'18年合同登记表'!#REF!</f>
        <v>#REF!</v>
      </c>
      <c r="AY119" s="122" t="e">
        <f>客服部最终提成计算表!$X121*0.15*0.8*0.08*'18年合同登记表'!#REF!/'18年合同登记表'!#REF!</f>
        <v>#REF!</v>
      </c>
      <c r="AZ119" s="122" t="e">
        <f>客服部最终提成计算表!$X121*0.15*0.8*0.05*'18年合同登记表'!#REF!/'18年合同登记表'!#REF!</f>
        <v>#REF!</v>
      </c>
      <c r="BA119" s="131" t="e">
        <f>客服部最终提成计算表!$X121*0.15*0.8*0.02*'18年合同登记表'!#REF!/'18年合同登记表'!#REF!</f>
        <v>#REF!</v>
      </c>
    </row>
    <row r="120" s="104" customFormat="1" ht="14.25" spans="1:53">
      <c r="A120" s="123" t="s">
        <v>990</v>
      </c>
      <c r="B120" s="124">
        <f>'18年合同登记表'!F153</f>
        <v>0</v>
      </c>
      <c r="C120" s="125">
        <f>'18年合同登记表'!H153</f>
        <v>0</v>
      </c>
      <c r="D120" s="125">
        <f>'18年合同登记表'!I153</f>
        <v>0</v>
      </c>
      <c r="E120" s="126">
        <f>'18年合同登记表'!L153</f>
        <v>0</v>
      </c>
      <c r="F120" s="127" t="e">
        <f>SUM(F112:F119)</f>
        <v>#REF!</v>
      </c>
      <c r="G120" s="128" t="e">
        <f>客服部最终提成计算表!$X122*0.15*0.8*0.08*'18年合同登记表'!T153/'18年合同登记表'!$M153</f>
        <v>#REF!</v>
      </c>
      <c r="H120" s="128" t="e">
        <f>客服部最终提成计算表!$X122*0.15*0.8*0.05*'18年合同登记表'!T153/'18年合同登记表'!$M153</f>
        <v>#REF!</v>
      </c>
      <c r="I120" s="128" t="e">
        <f>客服部最终提成计算表!$X122*0.15*0.8*0.02*'18年合同登记表'!T153/'18年合同登记表'!$M153</f>
        <v>#REF!</v>
      </c>
      <c r="J120" s="128" t="e">
        <f>客服部最终提成计算表!$X122*0.15*0.8*0.85*'18年合同登记表'!V153/'18年合同登记表'!$M153</f>
        <v>#REF!</v>
      </c>
      <c r="K120" s="128" t="e">
        <f>客服部最终提成计算表!$X122*0.15*0.8*0.08*'18年合同登记表'!V153/'18年合同登记表'!$M153</f>
        <v>#REF!</v>
      </c>
      <c r="L120" s="128" t="e">
        <f>客服部最终提成计算表!$X122*0.15*0.8*0.05*'18年合同登记表'!V153/'18年合同登记表'!$M153</f>
        <v>#REF!</v>
      </c>
      <c r="M120" s="128" t="e">
        <f>客服部最终提成计算表!$X122*0.15*0.8*0.02*'18年合同登记表'!V153/'18年合同登记表'!$M153</f>
        <v>#REF!</v>
      </c>
      <c r="N120" s="128" t="e">
        <f>客服部最终提成计算表!$X122*0.15*0.8*0.85*'18年合同登记表'!X153/'18年合同登记表'!$M153</f>
        <v>#REF!</v>
      </c>
      <c r="O120" s="128" t="e">
        <f>客服部最终提成计算表!$X122*0.15*0.8*0.08*'18年合同登记表'!X153/'18年合同登记表'!$M153</f>
        <v>#REF!</v>
      </c>
      <c r="P120" s="128" t="e">
        <f>客服部最终提成计算表!$X122*0.15*0.8*0.05*'18年合同登记表'!X153/'18年合同登记表'!$M153</f>
        <v>#REF!</v>
      </c>
      <c r="Q120" s="128" t="e">
        <f>客服部最终提成计算表!$X122*0.15*0.8*0.02*'18年合同登记表'!X153/'18年合同登记表'!$M153</f>
        <v>#REF!</v>
      </c>
      <c r="R120" s="128" t="e">
        <f>客服部最终提成计算表!$X122*0.15*0.8*0.85*'18年合同登记表'!Z153/'18年合同登记表'!$M153</f>
        <v>#REF!</v>
      </c>
      <c r="S120" s="128" t="e">
        <f>客服部最终提成计算表!$X122*0.15*0.8*0.08*'18年合同登记表'!Z153/'18年合同登记表'!$M153</f>
        <v>#REF!</v>
      </c>
      <c r="T120" s="128" t="e">
        <f>客服部最终提成计算表!$X122*0.15*0.8*0.05*'18年合同登记表'!Z153/'18年合同登记表'!$M153</f>
        <v>#REF!</v>
      </c>
      <c r="U120" s="128" t="e">
        <f>客服部最终提成计算表!$X122*0.15*0.8*0.02*'18年合同登记表'!Z153/'18年合同登记表'!$M153</f>
        <v>#REF!</v>
      </c>
      <c r="V120" s="128" t="e">
        <f>客服部最终提成计算表!$X122*0.15*0.8*0.85*'18年合同登记表'!AB153/'18年合同登记表'!$M153</f>
        <v>#REF!</v>
      </c>
      <c r="W120" s="128" t="e">
        <f>客服部最终提成计算表!$X122*0.15*0.8*0.08*'18年合同登记表'!AB153/'18年合同登记表'!$M153</f>
        <v>#REF!</v>
      </c>
      <c r="X120" s="128" t="e">
        <f>客服部最终提成计算表!$X122*0.15*0.8*0.05*'18年合同登记表'!AB153/'18年合同登记表'!$M153</f>
        <v>#REF!</v>
      </c>
      <c r="Y120" s="128" t="e">
        <f>客服部最终提成计算表!$X122*0.15*0.8*0.02*'18年合同登记表'!AB153/'18年合同登记表'!$M153</f>
        <v>#REF!</v>
      </c>
      <c r="Z120" s="128" t="e">
        <f>客服部最终提成计算表!$X122*0.15*0.8*0.85*'18年合同登记表'!AD153/'18年合同登记表'!$M153</f>
        <v>#REF!</v>
      </c>
      <c r="AA120" s="128" t="e">
        <f>客服部最终提成计算表!$X122*0.15*0.8*0.08*'18年合同登记表'!AD153/'18年合同登记表'!$M153</f>
        <v>#REF!</v>
      </c>
      <c r="AB120" s="128" t="e">
        <f>客服部最终提成计算表!$X122*0.15*0.8*0.05*'18年合同登记表'!AD153/'18年合同登记表'!$M153</f>
        <v>#REF!</v>
      </c>
      <c r="AC120" s="128" t="e">
        <f>客服部最终提成计算表!$X122*0.15*0.8*0.02*'18年合同登记表'!AD153/'18年合同登记表'!$M153</f>
        <v>#REF!</v>
      </c>
      <c r="AD120" s="128" t="e">
        <f>客服部最终提成计算表!$X122*0.15*0.8*0.85*'18年合同登记表'!AF153/'18年合同登记表'!$M153</f>
        <v>#REF!</v>
      </c>
      <c r="AE120" s="128" t="e">
        <f>客服部最终提成计算表!$X122*0.15*0.8*0.08*'18年合同登记表'!AF153/'18年合同登记表'!$M153</f>
        <v>#REF!</v>
      </c>
      <c r="AF120" s="128" t="e">
        <f>客服部最终提成计算表!$X122*0.15*0.8*0.05*'18年合同登记表'!AF153/'18年合同登记表'!$M153</f>
        <v>#REF!</v>
      </c>
      <c r="AG120" s="128" t="e">
        <f>客服部最终提成计算表!$X122*0.15*0.8*0.02*'18年合同登记表'!AF153/'18年合同登记表'!$M153</f>
        <v>#REF!</v>
      </c>
      <c r="AH120" s="128" t="e">
        <f>客服部最终提成计算表!$X122*0.15*0.8*0.85*'18年合同登记表'!AH153/'18年合同登记表'!$M153</f>
        <v>#REF!</v>
      </c>
      <c r="AI120" s="128" t="e">
        <f>客服部最终提成计算表!$X122*0.15*0.8*0.08*'18年合同登记表'!AH153/'18年合同登记表'!$M153</f>
        <v>#REF!</v>
      </c>
      <c r="AJ120" s="128" t="e">
        <f>客服部最终提成计算表!$X122*0.15*0.8*0.05*'18年合同登记表'!AH153/'18年合同登记表'!$M153</f>
        <v>#REF!</v>
      </c>
      <c r="AK120" s="128" t="e">
        <f>客服部最终提成计算表!$X122*0.15*0.8*0.02*'18年合同登记表'!AH153/'18年合同登记表'!$M153</f>
        <v>#REF!</v>
      </c>
      <c r="AL120" s="128" t="e">
        <f>客服部最终提成计算表!$X122*0.15*0.8*0.85*'18年合同登记表'!AJ153/'18年合同登记表'!$M153</f>
        <v>#REF!</v>
      </c>
      <c r="AM120" s="128" t="e">
        <f>客服部最终提成计算表!$X122*0.15*0.8*0.08*'18年合同登记表'!AJ153/'18年合同登记表'!$M153</f>
        <v>#REF!</v>
      </c>
      <c r="AN120" s="128" t="e">
        <f>客服部最终提成计算表!$X122*0.15*0.8*0.05*'18年合同登记表'!AJ153/'18年合同登记表'!$M153</f>
        <v>#REF!</v>
      </c>
      <c r="AO120" s="128" t="e">
        <f>客服部最终提成计算表!$X122*0.15*0.8*0.02*'18年合同登记表'!AJ153/'18年合同登记表'!$M153</f>
        <v>#REF!</v>
      </c>
      <c r="AP120" s="128" t="e">
        <f>客服部最终提成计算表!$X122*0.15*0.8*0.85*'18年合同登记表'!AL153/'18年合同登记表'!$M153</f>
        <v>#REF!</v>
      </c>
      <c r="AQ120" s="128" t="e">
        <f>客服部最终提成计算表!$X122*0.15*0.8*0.08*'18年合同登记表'!AL153/'18年合同登记表'!$M153</f>
        <v>#REF!</v>
      </c>
      <c r="AR120" s="128" t="e">
        <f>客服部最终提成计算表!$X122*0.15*0.8*0.05*'18年合同登记表'!AL153/'18年合同登记表'!$M153</f>
        <v>#REF!</v>
      </c>
      <c r="AS120" s="128" t="e">
        <f>客服部最终提成计算表!$X122*0.15*0.8*0.02*'18年合同登记表'!AL153/'18年合同登记表'!$M153</f>
        <v>#REF!</v>
      </c>
      <c r="AT120" s="128" t="e">
        <f>客服部最终提成计算表!$X122*0.15*0.8*0.85*'18年合同登记表'!AN153/'18年合同登记表'!$M153</f>
        <v>#REF!</v>
      </c>
      <c r="AU120" s="128" t="e">
        <f>客服部最终提成计算表!$X122*0.15*0.8*0.08*'18年合同登记表'!AN153/'18年合同登记表'!$M153</f>
        <v>#REF!</v>
      </c>
      <c r="AV120" s="128" t="e">
        <f>客服部最终提成计算表!$X122*0.15*0.8*0.05*'18年合同登记表'!AN153/'18年合同登记表'!$M153</f>
        <v>#REF!</v>
      </c>
      <c r="AW120" s="128" t="e">
        <f>客服部最终提成计算表!$X122*0.15*0.8*0.02*'18年合同登记表'!AN153/'18年合同登记表'!$M153</f>
        <v>#REF!</v>
      </c>
      <c r="AX120" s="128" t="e">
        <f>客服部最终提成计算表!$X122*0.15*0.8*0.85*'18年合同登记表'!AP153/'18年合同登记表'!$M153</f>
        <v>#REF!</v>
      </c>
      <c r="AY120" s="128" t="e">
        <f>客服部最终提成计算表!$X122*0.15*0.8*0.08*'18年合同登记表'!AP153/'18年合同登记表'!$M153</f>
        <v>#REF!</v>
      </c>
      <c r="AZ120" s="128" t="e">
        <f>客服部最终提成计算表!$X122*0.15*0.8*0.05*'18年合同登记表'!AP153/'18年合同登记表'!$M153</f>
        <v>#REF!</v>
      </c>
      <c r="BA120" s="132" t="e">
        <f>客服部最终提成计算表!$X122*0.15*0.8*0.02*'18年合同登记表'!AP153/'18年合同登记表'!$M153</f>
        <v>#REF!</v>
      </c>
    </row>
    <row r="121" s="104" customFormat="1" ht="14.25" spans="1:53">
      <c r="A121" s="123" t="s">
        <v>991</v>
      </c>
      <c r="B121" s="124">
        <f>'18年合同登记表'!F154</f>
        <v>0</v>
      </c>
      <c r="C121" s="125">
        <f>'18年合同登记表'!H154</f>
        <v>0</v>
      </c>
      <c r="D121" s="125">
        <f>'18年合同登记表'!I154</f>
        <v>0</v>
      </c>
      <c r="E121" s="126">
        <f>'18年合同登记表'!L154</f>
        <v>0</v>
      </c>
      <c r="F121" s="127" t="e">
        <f>F111+F120</f>
        <v>#REF!</v>
      </c>
      <c r="G121" s="127" t="e">
        <f t="shared" ref="G121" si="331">G111+G120</f>
        <v>#REF!</v>
      </c>
      <c r="H121" s="127" t="e">
        <f t="shared" ref="H121" si="332">H111+H120</f>
        <v>#REF!</v>
      </c>
      <c r="I121" s="127" t="e">
        <f t="shared" ref="I121" si="333">I111+I120</f>
        <v>#REF!</v>
      </c>
      <c r="J121" s="127" t="e">
        <f t="shared" ref="J121" si="334">J111+J120</f>
        <v>#REF!</v>
      </c>
      <c r="K121" s="127" t="e">
        <f t="shared" ref="K121" si="335">K111+K120</f>
        <v>#REF!</v>
      </c>
      <c r="L121" s="127" t="e">
        <f t="shared" ref="L121" si="336">L111+L120</f>
        <v>#REF!</v>
      </c>
      <c r="M121" s="127" t="e">
        <f t="shared" ref="M121" si="337">M111+M120</f>
        <v>#REF!</v>
      </c>
      <c r="N121" s="127" t="e">
        <f t="shared" ref="N121" si="338">N111+N120</f>
        <v>#REF!</v>
      </c>
      <c r="O121" s="127" t="e">
        <f t="shared" ref="O121" si="339">O111+O120</f>
        <v>#REF!</v>
      </c>
      <c r="P121" s="127" t="e">
        <f t="shared" ref="P121" si="340">P111+P120</f>
        <v>#REF!</v>
      </c>
      <c r="Q121" s="127" t="e">
        <f t="shared" ref="Q121" si="341">Q111+Q120</f>
        <v>#REF!</v>
      </c>
      <c r="R121" s="127" t="e">
        <f t="shared" ref="R121" si="342">R111+R120</f>
        <v>#REF!</v>
      </c>
      <c r="S121" s="127" t="e">
        <f t="shared" ref="S121" si="343">S111+S120</f>
        <v>#REF!</v>
      </c>
      <c r="T121" s="127" t="e">
        <f t="shared" ref="T121" si="344">T111+T120</f>
        <v>#REF!</v>
      </c>
      <c r="U121" s="127" t="e">
        <f t="shared" ref="U121" si="345">U111+U120</f>
        <v>#REF!</v>
      </c>
      <c r="V121" s="127" t="e">
        <f t="shared" ref="V121" si="346">V111+V120</f>
        <v>#REF!</v>
      </c>
      <c r="W121" s="127" t="e">
        <f t="shared" ref="W121" si="347">W111+W120</f>
        <v>#REF!</v>
      </c>
      <c r="X121" s="127" t="e">
        <f t="shared" ref="X121" si="348">X111+X120</f>
        <v>#REF!</v>
      </c>
      <c r="Y121" s="127" t="e">
        <f t="shared" ref="Y121" si="349">Y111+Y120</f>
        <v>#REF!</v>
      </c>
      <c r="Z121" s="127" t="e">
        <f t="shared" ref="Z121" si="350">Z111+Z120</f>
        <v>#REF!</v>
      </c>
      <c r="AA121" s="127" t="e">
        <f t="shared" ref="AA121" si="351">AA111+AA120</f>
        <v>#REF!</v>
      </c>
      <c r="AB121" s="127" t="e">
        <f t="shared" ref="AB121" si="352">AB111+AB120</f>
        <v>#REF!</v>
      </c>
      <c r="AC121" s="127" t="e">
        <f t="shared" ref="AC121" si="353">AC111+AC120</f>
        <v>#REF!</v>
      </c>
      <c r="AD121" s="127" t="e">
        <f t="shared" ref="AD121" si="354">AD111+AD120</f>
        <v>#REF!</v>
      </c>
      <c r="AE121" s="127" t="e">
        <f t="shared" ref="AE121" si="355">AE111+AE120</f>
        <v>#REF!</v>
      </c>
      <c r="AF121" s="127" t="e">
        <f t="shared" ref="AF121" si="356">AF111+AF120</f>
        <v>#REF!</v>
      </c>
      <c r="AG121" s="127" t="e">
        <f t="shared" ref="AG121" si="357">AG111+AG120</f>
        <v>#REF!</v>
      </c>
      <c r="AH121" s="127" t="e">
        <f t="shared" ref="AH121" si="358">AH111+AH120</f>
        <v>#REF!</v>
      </c>
      <c r="AI121" s="127" t="e">
        <f t="shared" ref="AI121" si="359">AI111+AI120</f>
        <v>#REF!</v>
      </c>
      <c r="AJ121" s="127" t="e">
        <f t="shared" ref="AJ121" si="360">AJ111+AJ120</f>
        <v>#REF!</v>
      </c>
      <c r="AK121" s="127" t="e">
        <f t="shared" ref="AK121" si="361">AK111+AK120</f>
        <v>#REF!</v>
      </c>
      <c r="AL121" s="127" t="e">
        <f t="shared" ref="AL121" si="362">AL111+AL120</f>
        <v>#REF!</v>
      </c>
      <c r="AM121" s="127" t="e">
        <f t="shared" ref="AM121" si="363">AM111+AM120</f>
        <v>#REF!</v>
      </c>
      <c r="AN121" s="127" t="e">
        <f t="shared" ref="AN121" si="364">AN111+AN120</f>
        <v>#REF!</v>
      </c>
      <c r="AO121" s="127" t="e">
        <f t="shared" ref="AO121" si="365">AO111+AO120</f>
        <v>#REF!</v>
      </c>
      <c r="AP121" s="127" t="e">
        <f t="shared" ref="AP121" si="366">AP111+AP120</f>
        <v>#REF!</v>
      </c>
      <c r="AQ121" s="127" t="e">
        <f t="shared" ref="AQ121" si="367">AQ111+AQ120</f>
        <v>#REF!</v>
      </c>
      <c r="AR121" s="127" t="e">
        <f t="shared" ref="AR121" si="368">AR111+AR120</f>
        <v>#REF!</v>
      </c>
      <c r="AS121" s="127" t="e">
        <f t="shared" ref="AS121" si="369">AS111+AS120</f>
        <v>#REF!</v>
      </c>
      <c r="AT121" s="127" t="e">
        <f t="shared" ref="AT121" si="370">AT111+AT120</f>
        <v>#REF!</v>
      </c>
      <c r="AU121" s="127" t="e">
        <f t="shared" ref="AU121" si="371">AU111+AU120</f>
        <v>#REF!</v>
      </c>
      <c r="AV121" s="127" t="e">
        <f t="shared" ref="AV121" si="372">AV111+AV120</f>
        <v>#REF!</v>
      </c>
      <c r="AW121" s="127" t="e">
        <f t="shared" ref="AW121" si="373">AW111+AW120</f>
        <v>#REF!</v>
      </c>
      <c r="AX121" s="127" t="e">
        <f t="shared" ref="AX121" si="374">AX111+AX120</f>
        <v>#REF!</v>
      </c>
      <c r="AY121" s="127" t="e">
        <f t="shared" ref="AY121" si="375">AY111+AY120</f>
        <v>#REF!</v>
      </c>
      <c r="AZ121" s="127" t="e">
        <f t="shared" ref="AZ121" si="376">AZ111+AZ120</f>
        <v>#REF!</v>
      </c>
      <c r="BA121" s="127" t="e">
        <f t="shared" ref="BA121" si="377">BA111+BA120</f>
        <v>#REF!</v>
      </c>
    </row>
    <row r="122" s="104" customFormat="1" ht="14.25" spans="1:53">
      <c r="A122" s="117"/>
      <c r="B122" s="118" t="str">
        <f>'18年合同登记表'!F155</f>
        <v>西直门华电</v>
      </c>
      <c r="C122" s="119" t="str">
        <f>'18年合同登记表'!H155</f>
        <v>NHY-20180823-L-01-01-049</v>
      </c>
      <c r="D122" s="119" t="str">
        <f>'18年合同登记表'!I155</f>
        <v>直燃机维保</v>
      </c>
      <c r="E122" s="120" t="str">
        <f>'18年合同登记表'!L155</f>
        <v>陈勇</v>
      </c>
      <c r="F122" s="121">
        <f>客服部最终提成计算表!$X124*0.15*0.8*0.85*'18年合同登记表'!T155/'18年合同登记表'!$M155</f>
        <v>0</v>
      </c>
      <c r="G122" s="122">
        <f>客服部最终提成计算表!$X124*0.15*0.8*0.08*'18年合同登记表'!T155/'18年合同登记表'!$M155</f>
        <v>0</v>
      </c>
      <c r="H122" s="122">
        <f>客服部最终提成计算表!$X124*0.15*0.8*0.05*'18年合同登记表'!T155/'18年合同登记表'!$M155</f>
        <v>0</v>
      </c>
      <c r="I122" s="122">
        <f>客服部最终提成计算表!$X124*0.15*0.8*0.02*'18年合同登记表'!T155/'18年合同登记表'!$M155</f>
        <v>0</v>
      </c>
      <c r="J122" s="122">
        <f>客服部最终提成计算表!$X124*0.15*0.8*0.85*'18年合同登记表'!V155/'18年合同登记表'!$M155</f>
        <v>0</v>
      </c>
      <c r="K122" s="122">
        <f>客服部最终提成计算表!$X124*0.15*0.8*0.08*'18年合同登记表'!V155/'18年合同登记表'!$M155</f>
        <v>0</v>
      </c>
      <c r="L122" s="122">
        <f>客服部最终提成计算表!$X124*0.15*0.8*0.05*'18年合同登记表'!V155/'18年合同登记表'!$M155</f>
        <v>0</v>
      </c>
      <c r="M122" s="122">
        <f>客服部最终提成计算表!$X124*0.15*0.8*0.02*'18年合同登记表'!V155/'18年合同登记表'!$M155</f>
        <v>0</v>
      </c>
      <c r="N122" s="122">
        <f>客服部最终提成计算表!$X124*0.15*0.8*0.85*'18年合同登记表'!X155/'18年合同登记表'!$M155</f>
        <v>0</v>
      </c>
      <c r="O122" s="122">
        <f>客服部最终提成计算表!$X124*0.15*0.8*0.08*'18年合同登记表'!X155/'18年合同登记表'!$M155</f>
        <v>0</v>
      </c>
      <c r="P122" s="122">
        <f>客服部最终提成计算表!$X124*0.15*0.8*0.05*'18年合同登记表'!X155/'18年合同登记表'!$M155</f>
        <v>0</v>
      </c>
      <c r="Q122" s="122">
        <f>客服部最终提成计算表!$X124*0.15*0.8*0.02*'18年合同登记表'!X155/'18年合同登记表'!$M155</f>
        <v>0</v>
      </c>
      <c r="R122" s="122">
        <f>客服部最终提成计算表!$X124*0.15*0.8*0.85*'18年合同登记表'!Z155/'18年合同登记表'!$M155</f>
        <v>0</v>
      </c>
      <c r="S122" s="122">
        <f>客服部最终提成计算表!$X124*0.15*0.8*0.08*'18年合同登记表'!Z155/'18年合同登记表'!$M155</f>
        <v>0</v>
      </c>
      <c r="T122" s="122">
        <f>客服部最终提成计算表!$X124*0.15*0.8*0.05*'18年合同登记表'!Z155/'18年合同登记表'!$M155</f>
        <v>0</v>
      </c>
      <c r="U122" s="122">
        <f>客服部最终提成计算表!$X124*0.15*0.8*0.02*'18年合同登记表'!Z155/'18年合同登记表'!$M155</f>
        <v>0</v>
      </c>
      <c r="V122" s="122">
        <f>客服部最终提成计算表!$X124*0.15*0.8*0.85*'18年合同登记表'!AB155/'18年合同登记表'!$M155</f>
        <v>0</v>
      </c>
      <c r="W122" s="122">
        <f>客服部最终提成计算表!$X124*0.15*0.8*0.08*'18年合同登记表'!AB155/'18年合同登记表'!$M155</f>
        <v>0</v>
      </c>
      <c r="X122" s="122">
        <f>客服部最终提成计算表!$X124*0.15*0.8*0.05*'18年合同登记表'!AB155/'18年合同登记表'!$M155</f>
        <v>0</v>
      </c>
      <c r="Y122" s="122">
        <f>客服部最终提成计算表!$X124*0.15*0.8*0.02*'18年合同登记表'!AB155/'18年合同登记表'!$M155</f>
        <v>0</v>
      </c>
      <c r="Z122" s="122">
        <f>客服部最终提成计算表!$X124*0.15*0.8*0.85*'18年合同登记表'!AD155/'18年合同登记表'!$M155</f>
        <v>0</v>
      </c>
      <c r="AA122" s="122">
        <f>客服部最终提成计算表!$X124*0.15*0.8*0.08*'18年合同登记表'!AD155/'18年合同登记表'!$M155</f>
        <v>0</v>
      </c>
      <c r="AB122" s="122">
        <f>客服部最终提成计算表!$X124*0.15*0.8*0.05*'18年合同登记表'!AD155/'18年合同登记表'!$M155</f>
        <v>0</v>
      </c>
      <c r="AC122" s="122">
        <f>客服部最终提成计算表!$X124*0.15*0.8*0.02*'18年合同登记表'!AD155/'18年合同登记表'!$M155</f>
        <v>0</v>
      </c>
      <c r="AD122" s="122">
        <f>客服部最终提成计算表!$X124*0.15*0.8*0.85*'18年合同登记表'!AF155/'18年合同登记表'!$M155</f>
        <v>0</v>
      </c>
      <c r="AE122" s="122">
        <f>客服部最终提成计算表!$X124*0.15*0.8*0.08*'18年合同登记表'!AF155/'18年合同登记表'!$M155</f>
        <v>0</v>
      </c>
      <c r="AF122" s="122">
        <f>客服部最终提成计算表!$X124*0.15*0.8*0.05*'18年合同登记表'!AF155/'18年合同登记表'!$M155</f>
        <v>0</v>
      </c>
      <c r="AG122" s="122">
        <f>客服部最终提成计算表!$X124*0.15*0.8*0.02*'18年合同登记表'!AF155/'18年合同登记表'!$M155</f>
        <v>0</v>
      </c>
      <c r="AH122" s="122">
        <f>客服部最终提成计算表!$X124*0.15*0.8*0.85*'18年合同登记表'!AH155/'18年合同登记表'!$M155</f>
        <v>0</v>
      </c>
      <c r="AI122" s="122">
        <f>客服部最终提成计算表!$X124*0.15*0.8*0.08*'18年合同登记表'!AH155/'18年合同登记表'!$M155</f>
        <v>0</v>
      </c>
      <c r="AJ122" s="122">
        <f>客服部最终提成计算表!$X124*0.15*0.8*0.05*'18年合同登记表'!AH155/'18年合同登记表'!$M155</f>
        <v>0</v>
      </c>
      <c r="AK122" s="122">
        <f>客服部最终提成计算表!$X124*0.15*0.8*0.02*'18年合同登记表'!AH155/'18年合同登记表'!$M155</f>
        <v>0</v>
      </c>
      <c r="AL122" s="122">
        <f>客服部最终提成计算表!$X124*0.15*0.8*0.85*'18年合同登记表'!AJ155/'18年合同登记表'!$M155</f>
        <v>0</v>
      </c>
      <c r="AM122" s="122">
        <f>客服部最终提成计算表!$X124*0.15*0.8*0.08*'18年合同登记表'!AJ155/'18年合同登记表'!$M155</f>
        <v>0</v>
      </c>
      <c r="AN122" s="122">
        <f>客服部最终提成计算表!$X124*0.15*0.8*0.05*'18年合同登记表'!AJ155/'18年合同登记表'!$M155</f>
        <v>0</v>
      </c>
      <c r="AO122" s="122">
        <f>客服部最终提成计算表!$X124*0.15*0.8*0.02*'18年合同登记表'!AJ155/'18年合同登记表'!$M155</f>
        <v>0</v>
      </c>
      <c r="AP122" s="122">
        <f>客服部最终提成计算表!$X124*0.15*0.8*0.85*'18年合同登记表'!AL155/'18年合同登记表'!$M155</f>
        <v>0</v>
      </c>
      <c r="AQ122" s="122">
        <f>客服部最终提成计算表!$X124*0.15*0.8*0.08*'18年合同登记表'!AL155/'18年合同登记表'!$M155</f>
        <v>0</v>
      </c>
      <c r="AR122" s="122">
        <f>客服部最终提成计算表!$X124*0.15*0.8*0.05*'18年合同登记表'!AL155/'18年合同登记表'!$M155</f>
        <v>0</v>
      </c>
      <c r="AS122" s="122">
        <f>客服部最终提成计算表!$X124*0.15*0.8*0.02*'18年合同登记表'!AL155/'18年合同登记表'!$M155</f>
        <v>0</v>
      </c>
      <c r="AT122" s="122">
        <f>客服部最终提成计算表!$X124*0.15*0.8*0.85*'18年合同登记表'!AN155/'18年合同登记表'!$M155</f>
        <v>0</v>
      </c>
      <c r="AU122" s="122">
        <f>客服部最终提成计算表!$X124*0.15*0.8*0.08*'18年合同登记表'!AN155/'18年合同登记表'!$M155</f>
        <v>0</v>
      </c>
      <c r="AV122" s="122">
        <f>客服部最终提成计算表!$X124*0.15*0.8*0.05*'18年合同登记表'!AN155/'18年合同登记表'!$M155</f>
        <v>0</v>
      </c>
      <c r="AW122" s="122">
        <f>客服部最终提成计算表!$X124*0.15*0.8*0.02*'18年合同登记表'!AN155/'18年合同登记表'!$M155</f>
        <v>0</v>
      </c>
      <c r="AX122" s="122">
        <f>客服部最终提成计算表!$X124*0.15*0.8*0.85*'18年合同登记表'!AP155/'18年合同登记表'!$M155</f>
        <v>1530</v>
      </c>
      <c r="AY122" s="122">
        <f>客服部最终提成计算表!$X124*0.15*0.8*0.08*'18年合同登记表'!AP155/'18年合同登记表'!$M155</f>
        <v>144</v>
      </c>
      <c r="AZ122" s="122">
        <f>客服部最终提成计算表!$X124*0.15*0.8*0.05*'18年合同登记表'!AP155/'18年合同登记表'!$M155</f>
        <v>90</v>
      </c>
      <c r="BA122" s="131">
        <f>客服部最终提成计算表!$X124*0.15*0.8*0.02*'18年合同登记表'!AP155/'18年合同登记表'!$M155</f>
        <v>36</v>
      </c>
    </row>
    <row r="123" s="104" customFormat="1" ht="14.25" spans="1:53">
      <c r="A123" s="117"/>
      <c r="B123" s="118" t="str">
        <f>'18年合同登记表'!F156</f>
        <v>星罗城</v>
      </c>
      <c r="C123" s="119" t="str">
        <f>'18年合同登记表'!H156</f>
        <v>NHY-20180806-L-01-01-049</v>
      </c>
      <c r="D123" s="119" t="str">
        <f>'18年合同登记表'!I156</f>
        <v>直燃机维保</v>
      </c>
      <c r="E123" s="120" t="str">
        <f>'18年合同登记表'!L156</f>
        <v>陈勇</v>
      </c>
      <c r="F123" s="121">
        <f>客服部最终提成计算表!$X125*0.15*0.8*0.85*'18年合同登记表'!T156/'18年合同登记表'!$M156</f>
        <v>0</v>
      </c>
      <c r="G123" s="122">
        <f>客服部最终提成计算表!$X125*0.15*0.8*0.08*'18年合同登记表'!T156/'18年合同登记表'!$M156</f>
        <v>0</v>
      </c>
      <c r="H123" s="122">
        <f>客服部最终提成计算表!$X125*0.15*0.8*0.05*'18年合同登记表'!T156/'18年合同登记表'!$M156</f>
        <v>0</v>
      </c>
      <c r="I123" s="122">
        <f>客服部最终提成计算表!$X125*0.15*0.8*0.02*'18年合同登记表'!T156/'18年合同登记表'!$M156</f>
        <v>0</v>
      </c>
      <c r="J123" s="122">
        <f>客服部最终提成计算表!$X125*0.15*0.8*0.85*'18年合同登记表'!V156/'18年合同登记表'!$M156</f>
        <v>0</v>
      </c>
      <c r="K123" s="122">
        <f>客服部最终提成计算表!$X125*0.15*0.8*0.08*'18年合同登记表'!V156/'18年合同登记表'!$M156</f>
        <v>0</v>
      </c>
      <c r="L123" s="122">
        <f>客服部最终提成计算表!$X125*0.15*0.8*0.05*'18年合同登记表'!V156/'18年合同登记表'!$M156</f>
        <v>0</v>
      </c>
      <c r="M123" s="122">
        <f>客服部最终提成计算表!$X125*0.15*0.8*0.02*'18年合同登记表'!V156/'18年合同登记表'!$M156</f>
        <v>0</v>
      </c>
      <c r="N123" s="122">
        <f>客服部最终提成计算表!$X125*0.15*0.8*0.85*'18年合同登记表'!X156/'18年合同登记表'!$M156</f>
        <v>0</v>
      </c>
      <c r="O123" s="122">
        <f>客服部最终提成计算表!$X125*0.15*0.8*0.08*'18年合同登记表'!X156/'18年合同登记表'!$M156</f>
        <v>0</v>
      </c>
      <c r="P123" s="122">
        <f>客服部最终提成计算表!$X125*0.15*0.8*0.05*'18年合同登记表'!X156/'18年合同登记表'!$M156</f>
        <v>0</v>
      </c>
      <c r="Q123" s="122">
        <f>客服部最终提成计算表!$X125*0.15*0.8*0.02*'18年合同登记表'!X156/'18年合同登记表'!$M156</f>
        <v>0</v>
      </c>
      <c r="R123" s="122">
        <f>客服部最终提成计算表!$X125*0.15*0.8*0.85*'18年合同登记表'!Z156/'18年合同登记表'!$M156</f>
        <v>0</v>
      </c>
      <c r="S123" s="122">
        <f>客服部最终提成计算表!$X125*0.15*0.8*0.08*'18年合同登记表'!Z156/'18年合同登记表'!$M156</f>
        <v>0</v>
      </c>
      <c r="T123" s="122">
        <f>客服部最终提成计算表!$X125*0.15*0.8*0.05*'18年合同登记表'!Z156/'18年合同登记表'!$M156</f>
        <v>0</v>
      </c>
      <c r="U123" s="122">
        <f>客服部最终提成计算表!$X125*0.15*0.8*0.02*'18年合同登记表'!Z156/'18年合同登记表'!$M156</f>
        <v>0</v>
      </c>
      <c r="V123" s="122">
        <f>客服部最终提成计算表!$X125*0.15*0.8*0.85*'18年合同登记表'!AB156/'18年合同登记表'!$M156</f>
        <v>0</v>
      </c>
      <c r="W123" s="122">
        <f>客服部最终提成计算表!$X125*0.15*0.8*0.08*'18年合同登记表'!AB156/'18年合同登记表'!$M156</f>
        <v>0</v>
      </c>
      <c r="X123" s="122">
        <f>客服部最终提成计算表!$X125*0.15*0.8*0.05*'18年合同登记表'!AB156/'18年合同登记表'!$M156</f>
        <v>0</v>
      </c>
      <c r="Y123" s="122">
        <f>客服部最终提成计算表!$X125*0.15*0.8*0.02*'18年合同登记表'!AB156/'18年合同登记表'!$M156</f>
        <v>0</v>
      </c>
      <c r="Z123" s="122">
        <f>客服部最终提成计算表!$X125*0.15*0.8*0.85*'18年合同登记表'!AD156/'18年合同登记表'!$M156</f>
        <v>0</v>
      </c>
      <c r="AA123" s="122">
        <f>客服部最终提成计算表!$X125*0.15*0.8*0.08*'18年合同登记表'!AD156/'18年合同登记表'!$M156</f>
        <v>0</v>
      </c>
      <c r="AB123" s="122">
        <f>客服部最终提成计算表!$X125*0.15*0.8*0.05*'18年合同登记表'!AD156/'18年合同登记表'!$M156</f>
        <v>0</v>
      </c>
      <c r="AC123" s="122">
        <f>客服部最终提成计算表!$X125*0.15*0.8*0.02*'18年合同登记表'!AD156/'18年合同登记表'!$M156</f>
        <v>0</v>
      </c>
      <c r="AD123" s="122">
        <f>客服部最终提成计算表!$X125*0.15*0.8*0.85*'18年合同登记表'!AF156/'18年合同登记表'!$M156</f>
        <v>0</v>
      </c>
      <c r="AE123" s="122">
        <f>客服部最终提成计算表!$X125*0.15*0.8*0.08*'18年合同登记表'!AF156/'18年合同登记表'!$M156</f>
        <v>0</v>
      </c>
      <c r="AF123" s="122">
        <f>客服部最终提成计算表!$X125*0.15*0.8*0.05*'18年合同登记表'!AF156/'18年合同登记表'!$M156</f>
        <v>0</v>
      </c>
      <c r="AG123" s="122">
        <f>客服部最终提成计算表!$X125*0.15*0.8*0.02*'18年合同登记表'!AF156/'18年合同登记表'!$M156</f>
        <v>0</v>
      </c>
      <c r="AH123" s="122">
        <f>客服部最终提成计算表!$X125*0.15*0.8*0.85*'18年合同登记表'!AH156/'18年合同登记表'!$M156</f>
        <v>0</v>
      </c>
      <c r="AI123" s="122">
        <f>客服部最终提成计算表!$X125*0.15*0.8*0.08*'18年合同登记表'!AH156/'18年合同登记表'!$M156</f>
        <v>0</v>
      </c>
      <c r="AJ123" s="122">
        <f>客服部最终提成计算表!$X125*0.15*0.8*0.05*'18年合同登记表'!AH156/'18年合同登记表'!$M156</f>
        <v>0</v>
      </c>
      <c r="AK123" s="122">
        <f>客服部最终提成计算表!$X125*0.15*0.8*0.02*'18年合同登记表'!AH156/'18年合同登记表'!$M156</f>
        <v>0</v>
      </c>
      <c r="AL123" s="122">
        <f>客服部最终提成计算表!$X125*0.15*0.8*0.85*'18年合同登记表'!AJ156/'18年合同登记表'!$M156</f>
        <v>0</v>
      </c>
      <c r="AM123" s="122">
        <f>客服部最终提成计算表!$X125*0.15*0.8*0.08*'18年合同登记表'!AJ156/'18年合同登记表'!$M156</f>
        <v>0</v>
      </c>
      <c r="AN123" s="122">
        <f>客服部最终提成计算表!$X125*0.15*0.8*0.05*'18年合同登记表'!AJ156/'18年合同登记表'!$M156</f>
        <v>0</v>
      </c>
      <c r="AO123" s="122">
        <f>客服部最终提成计算表!$X125*0.15*0.8*0.02*'18年合同登记表'!AJ156/'18年合同登记表'!$M156</f>
        <v>0</v>
      </c>
      <c r="AP123" s="122">
        <f>客服部最终提成计算表!$X125*0.15*0.8*0.85*'18年合同登记表'!AL156/'18年合同登记表'!$M156</f>
        <v>0</v>
      </c>
      <c r="AQ123" s="122">
        <f>客服部最终提成计算表!$X125*0.15*0.8*0.08*'18年合同登记表'!AL156/'18年合同登记表'!$M156</f>
        <v>0</v>
      </c>
      <c r="AR123" s="122">
        <f>客服部最终提成计算表!$X125*0.15*0.8*0.05*'18年合同登记表'!AL156/'18年合同登记表'!$M156</f>
        <v>0</v>
      </c>
      <c r="AS123" s="122">
        <f>客服部最终提成计算表!$X125*0.15*0.8*0.02*'18年合同登记表'!AL156/'18年合同登记表'!$M156</f>
        <v>0</v>
      </c>
      <c r="AT123" s="122">
        <f>客服部最终提成计算表!$X125*0.15*0.8*0.85*'18年合同登记表'!AN156/'18年合同登记表'!$M156</f>
        <v>1530</v>
      </c>
      <c r="AU123" s="122">
        <f>客服部最终提成计算表!$X125*0.15*0.8*0.08*'18年合同登记表'!AN156/'18年合同登记表'!$M156</f>
        <v>144</v>
      </c>
      <c r="AV123" s="122">
        <f>客服部最终提成计算表!$X125*0.15*0.8*0.05*'18年合同登记表'!AN156/'18年合同登记表'!$M156</f>
        <v>90</v>
      </c>
      <c r="AW123" s="122">
        <f>客服部最终提成计算表!$X125*0.15*0.8*0.02*'18年合同登记表'!AN156/'18年合同登记表'!$M156</f>
        <v>36</v>
      </c>
      <c r="AX123" s="122">
        <f>客服部最终提成计算表!$X125*0.15*0.8*0.85*'18年合同登记表'!AP156/'18年合同登记表'!$M156</f>
        <v>0</v>
      </c>
      <c r="AY123" s="122">
        <f>客服部最终提成计算表!$X125*0.15*0.8*0.08*'18年合同登记表'!AP156/'18年合同登记表'!$M156</f>
        <v>0</v>
      </c>
      <c r="AZ123" s="122">
        <f>客服部最终提成计算表!$X125*0.15*0.8*0.05*'18年合同登记表'!AP156/'18年合同登记表'!$M156</f>
        <v>0</v>
      </c>
      <c r="BA123" s="131">
        <f>客服部最终提成计算表!$X125*0.15*0.8*0.02*'18年合同登记表'!AP156/'18年合同登记表'!$M156</f>
        <v>0</v>
      </c>
    </row>
    <row r="124" s="104" customFormat="1" ht="14.25" spans="1:53">
      <c r="A124" s="117"/>
      <c r="B124" s="118" t="str">
        <f>'18年合同登记表'!F157</f>
        <v>香岩寺</v>
      </c>
      <c r="C124" s="119" t="str">
        <f>'18年合同登记表'!H157</f>
        <v>NHY-20180525-W-01-01-001</v>
      </c>
      <c r="D124" s="119" t="str">
        <f>'18年合同登记表'!I157</f>
        <v>亚太螺杆机组大修</v>
      </c>
      <c r="E124" s="120" t="str">
        <f>'18年合同登记表'!L157</f>
        <v>卢强</v>
      </c>
      <c r="F124" s="121">
        <f>客服部最终提成计算表!$X126*0.15*0.8*0.85*'18年合同登记表'!T157/'18年合同登记表'!$M157</f>
        <v>0</v>
      </c>
      <c r="G124" s="122">
        <f>客服部最终提成计算表!$X126*0.15*0.8*0.08*'18年合同登记表'!T157/'18年合同登记表'!$M157</f>
        <v>0</v>
      </c>
      <c r="H124" s="122">
        <f>客服部最终提成计算表!$X126*0.15*0.8*0.05*'18年合同登记表'!T157/'18年合同登记表'!$M157</f>
        <v>0</v>
      </c>
      <c r="I124" s="122">
        <f>客服部最终提成计算表!$X126*0.15*0.8*0.02*'18年合同登记表'!T157/'18年合同登记表'!$M157</f>
        <v>0</v>
      </c>
      <c r="J124" s="122">
        <f>客服部最终提成计算表!$X126*0.15*0.8*0.85*'18年合同登记表'!V157/'18年合同登记表'!$M157</f>
        <v>0</v>
      </c>
      <c r="K124" s="122">
        <f>客服部最终提成计算表!$X126*0.15*0.8*0.08*'18年合同登记表'!V157/'18年合同登记表'!$M157</f>
        <v>0</v>
      </c>
      <c r="L124" s="122">
        <f>客服部最终提成计算表!$X126*0.15*0.8*0.05*'18年合同登记表'!V157/'18年合同登记表'!$M157</f>
        <v>0</v>
      </c>
      <c r="M124" s="122">
        <f>客服部最终提成计算表!$X126*0.15*0.8*0.02*'18年合同登记表'!V157/'18年合同登记表'!$M157</f>
        <v>0</v>
      </c>
      <c r="N124" s="122">
        <f>客服部最终提成计算表!$X126*0.15*0.8*0.85*'18年合同登记表'!X157/'18年合同登记表'!$M157</f>
        <v>0</v>
      </c>
      <c r="O124" s="122">
        <f>客服部最终提成计算表!$X126*0.15*0.8*0.08*'18年合同登记表'!X157/'18年合同登记表'!$M157</f>
        <v>0</v>
      </c>
      <c r="P124" s="122">
        <f>客服部最终提成计算表!$X126*0.15*0.8*0.05*'18年合同登记表'!X157/'18年合同登记表'!$M157</f>
        <v>0</v>
      </c>
      <c r="Q124" s="122">
        <f>客服部最终提成计算表!$X126*0.15*0.8*0.02*'18年合同登记表'!X157/'18年合同登记表'!$M157</f>
        <v>0</v>
      </c>
      <c r="R124" s="122">
        <f>客服部最终提成计算表!$X126*0.15*0.8*0.85*'18年合同登记表'!Z157/'18年合同登记表'!$M157</f>
        <v>0</v>
      </c>
      <c r="S124" s="122">
        <f>客服部最终提成计算表!$X126*0.15*0.8*0.08*'18年合同登记表'!Z157/'18年合同登记表'!$M157</f>
        <v>0</v>
      </c>
      <c r="T124" s="122">
        <f>客服部最终提成计算表!$X126*0.15*0.8*0.05*'18年合同登记表'!Z157/'18年合同登记表'!$M157</f>
        <v>0</v>
      </c>
      <c r="U124" s="122">
        <f>客服部最终提成计算表!$X126*0.15*0.8*0.02*'18年合同登记表'!Z157/'18年合同登记表'!$M157</f>
        <v>0</v>
      </c>
      <c r="V124" s="122">
        <f>客服部最终提成计算表!$X126*0.15*0.8*0.85*'18年合同登记表'!AB157/'18年合同登记表'!$M157</f>
        <v>0</v>
      </c>
      <c r="W124" s="122">
        <f>客服部最终提成计算表!$X126*0.15*0.8*0.08*'18年合同登记表'!AB157/'18年合同登记表'!$M157</f>
        <v>0</v>
      </c>
      <c r="X124" s="122">
        <f>客服部最终提成计算表!$X126*0.15*0.8*0.05*'18年合同登记表'!AB157/'18年合同登记表'!$M157</f>
        <v>0</v>
      </c>
      <c r="Y124" s="122">
        <f>客服部最终提成计算表!$X126*0.15*0.8*0.02*'18年合同登记表'!AB157/'18年合同登记表'!$M157</f>
        <v>0</v>
      </c>
      <c r="Z124" s="122">
        <f>客服部最终提成计算表!$X126*0.15*0.8*0.85*'18年合同登记表'!AD157/'18年合同登记表'!$M157</f>
        <v>0</v>
      </c>
      <c r="AA124" s="122">
        <f>客服部最终提成计算表!$X126*0.15*0.8*0.08*'18年合同登记表'!AD157/'18年合同登记表'!$M157</f>
        <v>0</v>
      </c>
      <c r="AB124" s="122">
        <f>客服部最终提成计算表!$X126*0.15*0.8*0.05*'18年合同登记表'!AD157/'18年合同登记表'!$M157</f>
        <v>0</v>
      </c>
      <c r="AC124" s="122">
        <f>客服部最终提成计算表!$X126*0.15*0.8*0.02*'18年合同登记表'!AD157/'18年合同登记表'!$M157</f>
        <v>0</v>
      </c>
      <c r="AD124" s="122">
        <f>客服部最终提成计算表!$X126*0.15*0.8*0.85*'18年合同登记表'!AF157/'18年合同登记表'!$M157</f>
        <v>0</v>
      </c>
      <c r="AE124" s="122">
        <f>客服部最终提成计算表!$X126*0.15*0.8*0.08*'18年合同登记表'!AF157/'18年合同登记表'!$M157</f>
        <v>0</v>
      </c>
      <c r="AF124" s="122">
        <f>客服部最终提成计算表!$X126*0.15*0.8*0.05*'18年合同登记表'!AF157/'18年合同登记表'!$M157</f>
        <v>0</v>
      </c>
      <c r="AG124" s="122">
        <f>客服部最终提成计算表!$X126*0.15*0.8*0.02*'18年合同登记表'!AF157/'18年合同登记表'!$M157</f>
        <v>0</v>
      </c>
      <c r="AH124" s="122">
        <f>客服部最终提成计算表!$X126*0.15*0.8*0.85*'18年合同登记表'!AH157/'18年合同登记表'!$M157</f>
        <v>0</v>
      </c>
      <c r="AI124" s="122">
        <f>客服部最终提成计算表!$X126*0.15*0.8*0.08*'18年合同登记表'!AH157/'18年合同登记表'!$M157</f>
        <v>0</v>
      </c>
      <c r="AJ124" s="122">
        <f>客服部最终提成计算表!$X126*0.15*0.8*0.05*'18年合同登记表'!AH157/'18年合同登记表'!$M157</f>
        <v>0</v>
      </c>
      <c r="AK124" s="122">
        <f>客服部最终提成计算表!$X126*0.15*0.8*0.02*'18年合同登记表'!AH157/'18年合同登记表'!$M157</f>
        <v>0</v>
      </c>
      <c r="AL124" s="122">
        <f>客服部最终提成计算表!$X126*0.15*0.8*0.85*'18年合同登记表'!AJ157/'18年合同登记表'!$M157</f>
        <v>0</v>
      </c>
      <c r="AM124" s="122">
        <f>客服部最终提成计算表!$X126*0.15*0.8*0.08*'18年合同登记表'!AJ157/'18年合同登记表'!$M157</f>
        <v>0</v>
      </c>
      <c r="AN124" s="122">
        <f>客服部最终提成计算表!$X126*0.15*0.8*0.05*'18年合同登记表'!AJ157/'18年合同登记表'!$M157</f>
        <v>0</v>
      </c>
      <c r="AO124" s="122">
        <f>客服部最终提成计算表!$X126*0.15*0.8*0.02*'18年合同登记表'!AJ157/'18年合同登记表'!$M157</f>
        <v>0</v>
      </c>
      <c r="AP124" s="122">
        <f>客服部最终提成计算表!$X126*0.15*0.8*0.85*'18年合同登记表'!AL157/'18年合同登记表'!$M157</f>
        <v>0</v>
      </c>
      <c r="AQ124" s="122">
        <f>客服部最终提成计算表!$X126*0.15*0.8*0.08*'18年合同登记表'!AL157/'18年合同登记表'!$M157</f>
        <v>0</v>
      </c>
      <c r="AR124" s="122">
        <f>客服部最终提成计算表!$X126*0.15*0.8*0.05*'18年合同登记表'!AL157/'18年合同登记表'!$M157</f>
        <v>0</v>
      </c>
      <c r="AS124" s="122">
        <f>客服部最终提成计算表!$X126*0.15*0.8*0.02*'18年合同登记表'!AL157/'18年合同登记表'!$M157</f>
        <v>0</v>
      </c>
      <c r="AT124" s="122">
        <f>客服部最终提成计算表!$X126*0.15*0.8*0.85*'18年合同登记表'!AN157/'18年合同登记表'!$M157</f>
        <v>2284.902</v>
      </c>
      <c r="AU124" s="122">
        <f>客服部最终提成计算表!$X126*0.15*0.8*0.08*'18年合同登记表'!AN157/'18年合同登记表'!$M157</f>
        <v>215.0496</v>
      </c>
      <c r="AV124" s="122">
        <f>客服部最终提成计算表!$X126*0.15*0.8*0.05*'18年合同登记表'!AN157/'18年合同登记表'!$M157</f>
        <v>134.406</v>
      </c>
      <c r="AW124" s="122">
        <f>客服部最终提成计算表!$X126*0.15*0.8*0.02*'18年合同登记表'!AN157/'18年合同登记表'!$M157</f>
        <v>53.7624</v>
      </c>
      <c r="AX124" s="122">
        <f>客服部最终提成计算表!$X126*0.15*0.8*0.85*'18年合同登记表'!AP157/'18年合同登记表'!$M157</f>
        <v>120.258</v>
      </c>
      <c r="AY124" s="122">
        <f>客服部最终提成计算表!$X126*0.15*0.8*0.08*'18年合同登记表'!AP157/'18年合同登记表'!$M157</f>
        <v>11.3184</v>
      </c>
      <c r="AZ124" s="122">
        <f>客服部最终提成计算表!$X126*0.15*0.8*0.05*'18年合同登记表'!AP157/'18年合同登记表'!$M157</f>
        <v>7.074</v>
      </c>
      <c r="BA124" s="131">
        <f>客服部最终提成计算表!$X126*0.15*0.8*0.02*'18年合同登记表'!AP157/'18年合同登记表'!$M157</f>
        <v>2.8296</v>
      </c>
    </row>
    <row r="125" s="104" customFormat="1" ht="14.25" spans="1:53">
      <c r="A125" s="117"/>
      <c r="B125" s="118" t="str">
        <f>'18年合同登记表'!F158</f>
        <v>中电兴发</v>
      </c>
      <c r="C125" s="119" t="str">
        <f>'18年合同登记表'!H158</f>
        <v>NHY-20181016-L-01-01-049</v>
      </c>
      <c r="D125" s="119" t="str">
        <f>'18年合同登记表'!I158</f>
        <v>直燃机维保</v>
      </c>
      <c r="E125" s="120" t="str">
        <f>'18年合同登记表'!L158</f>
        <v>陈勇</v>
      </c>
      <c r="F125" s="121">
        <f>客服部最终提成计算表!$X127*0.15*0.8*0.85*'18年合同登记表'!T158/'18年合同登记表'!$M158</f>
        <v>0</v>
      </c>
      <c r="G125" s="122">
        <f>客服部最终提成计算表!$X127*0.15*0.8*0.08*'18年合同登记表'!T158/'18年合同登记表'!$M158</f>
        <v>0</v>
      </c>
      <c r="H125" s="122">
        <f>客服部最终提成计算表!$X127*0.15*0.8*0.05*'18年合同登记表'!T158/'18年合同登记表'!$M158</f>
        <v>0</v>
      </c>
      <c r="I125" s="122">
        <f>客服部最终提成计算表!$X127*0.15*0.8*0.02*'18年合同登记表'!T158/'18年合同登记表'!$M158</f>
        <v>0</v>
      </c>
      <c r="J125" s="122">
        <f>客服部最终提成计算表!$X127*0.15*0.8*0.85*'18年合同登记表'!V158/'18年合同登记表'!$M158</f>
        <v>0</v>
      </c>
      <c r="K125" s="122">
        <f>客服部最终提成计算表!$X127*0.15*0.8*0.08*'18年合同登记表'!V158/'18年合同登记表'!$M158</f>
        <v>0</v>
      </c>
      <c r="L125" s="122">
        <f>客服部最终提成计算表!$X127*0.15*0.8*0.05*'18年合同登记表'!V158/'18年合同登记表'!$M158</f>
        <v>0</v>
      </c>
      <c r="M125" s="122">
        <f>客服部最终提成计算表!$X127*0.15*0.8*0.02*'18年合同登记表'!V158/'18年合同登记表'!$M158</f>
        <v>0</v>
      </c>
      <c r="N125" s="122">
        <f>客服部最终提成计算表!$X127*0.15*0.8*0.85*'18年合同登记表'!X158/'18年合同登记表'!$M158</f>
        <v>0</v>
      </c>
      <c r="O125" s="122">
        <f>客服部最终提成计算表!$X127*0.15*0.8*0.08*'18年合同登记表'!X158/'18年合同登记表'!$M158</f>
        <v>0</v>
      </c>
      <c r="P125" s="122">
        <f>客服部最终提成计算表!$X127*0.15*0.8*0.05*'18年合同登记表'!X158/'18年合同登记表'!$M158</f>
        <v>0</v>
      </c>
      <c r="Q125" s="122">
        <f>客服部最终提成计算表!$X127*0.15*0.8*0.02*'18年合同登记表'!X158/'18年合同登记表'!$M158</f>
        <v>0</v>
      </c>
      <c r="R125" s="122">
        <f>客服部最终提成计算表!$X127*0.15*0.8*0.85*'18年合同登记表'!Z158/'18年合同登记表'!$M158</f>
        <v>0</v>
      </c>
      <c r="S125" s="122">
        <f>客服部最终提成计算表!$X127*0.15*0.8*0.08*'18年合同登记表'!Z158/'18年合同登记表'!$M158</f>
        <v>0</v>
      </c>
      <c r="T125" s="122">
        <f>客服部最终提成计算表!$X127*0.15*0.8*0.05*'18年合同登记表'!Z158/'18年合同登记表'!$M158</f>
        <v>0</v>
      </c>
      <c r="U125" s="122">
        <f>客服部最终提成计算表!$X127*0.15*0.8*0.02*'18年合同登记表'!Z158/'18年合同登记表'!$M158</f>
        <v>0</v>
      </c>
      <c r="V125" s="122">
        <f>客服部最终提成计算表!$X127*0.15*0.8*0.85*'18年合同登记表'!AB158/'18年合同登记表'!$M158</f>
        <v>0</v>
      </c>
      <c r="W125" s="122">
        <f>客服部最终提成计算表!$X127*0.15*0.8*0.08*'18年合同登记表'!AB158/'18年合同登记表'!$M158</f>
        <v>0</v>
      </c>
      <c r="X125" s="122">
        <f>客服部最终提成计算表!$X127*0.15*0.8*0.05*'18年合同登记表'!AB158/'18年合同登记表'!$M158</f>
        <v>0</v>
      </c>
      <c r="Y125" s="122">
        <f>客服部最终提成计算表!$X127*0.15*0.8*0.02*'18年合同登记表'!AB158/'18年合同登记表'!$M158</f>
        <v>0</v>
      </c>
      <c r="Z125" s="122">
        <f>客服部最终提成计算表!$X127*0.15*0.8*0.85*'18年合同登记表'!AD158/'18年合同登记表'!$M158</f>
        <v>0</v>
      </c>
      <c r="AA125" s="122">
        <f>客服部最终提成计算表!$X127*0.15*0.8*0.08*'18年合同登记表'!AD158/'18年合同登记表'!$M158</f>
        <v>0</v>
      </c>
      <c r="AB125" s="122">
        <f>客服部最终提成计算表!$X127*0.15*0.8*0.05*'18年合同登记表'!AD158/'18年合同登记表'!$M158</f>
        <v>0</v>
      </c>
      <c r="AC125" s="122">
        <f>客服部最终提成计算表!$X127*0.15*0.8*0.02*'18年合同登记表'!AD158/'18年合同登记表'!$M158</f>
        <v>0</v>
      </c>
      <c r="AD125" s="122">
        <f>客服部最终提成计算表!$X127*0.15*0.8*0.85*'18年合同登记表'!AF158/'18年合同登记表'!$M158</f>
        <v>0</v>
      </c>
      <c r="AE125" s="122">
        <f>客服部最终提成计算表!$X127*0.15*0.8*0.08*'18年合同登记表'!AF158/'18年合同登记表'!$M158</f>
        <v>0</v>
      </c>
      <c r="AF125" s="122">
        <f>客服部最终提成计算表!$X127*0.15*0.8*0.05*'18年合同登记表'!AF158/'18年合同登记表'!$M158</f>
        <v>0</v>
      </c>
      <c r="AG125" s="122">
        <f>客服部最终提成计算表!$X127*0.15*0.8*0.02*'18年合同登记表'!AF158/'18年合同登记表'!$M158</f>
        <v>0</v>
      </c>
      <c r="AH125" s="122">
        <f>客服部最终提成计算表!$X127*0.15*0.8*0.85*'18年合同登记表'!AH158/'18年合同登记表'!$M158</f>
        <v>0</v>
      </c>
      <c r="AI125" s="122">
        <f>客服部最终提成计算表!$X127*0.15*0.8*0.08*'18年合同登记表'!AH158/'18年合同登记表'!$M158</f>
        <v>0</v>
      </c>
      <c r="AJ125" s="122">
        <f>客服部最终提成计算表!$X127*0.15*0.8*0.05*'18年合同登记表'!AH158/'18年合同登记表'!$M158</f>
        <v>0</v>
      </c>
      <c r="AK125" s="122">
        <f>客服部最终提成计算表!$X127*0.15*0.8*0.02*'18年合同登记表'!AH158/'18年合同登记表'!$M158</f>
        <v>0</v>
      </c>
      <c r="AL125" s="122">
        <f>客服部最终提成计算表!$X127*0.15*0.8*0.85*'18年合同登记表'!AJ158/'18年合同登记表'!$M158</f>
        <v>0</v>
      </c>
      <c r="AM125" s="122">
        <f>客服部最终提成计算表!$X127*0.15*0.8*0.08*'18年合同登记表'!AJ158/'18年合同登记表'!$M158</f>
        <v>0</v>
      </c>
      <c r="AN125" s="122">
        <f>客服部最终提成计算表!$X127*0.15*0.8*0.05*'18年合同登记表'!AJ158/'18年合同登记表'!$M158</f>
        <v>0</v>
      </c>
      <c r="AO125" s="122">
        <f>客服部最终提成计算表!$X127*0.15*0.8*0.02*'18年合同登记表'!AJ158/'18年合同登记表'!$M158</f>
        <v>0</v>
      </c>
      <c r="AP125" s="122">
        <f>客服部最终提成计算表!$X127*0.15*0.8*0.85*'18年合同登记表'!AL158/'18年合同登记表'!$M158</f>
        <v>0</v>
      </c>
      <c r="AQ125" s="122">
        <f>客服部最终提成计算表!$X127*0.15*0.8*0.08*'18年合同登记表'!AL158/'18年合同登记表'!$M158</f>
        <v>0</v>
      </c>
      <c r="AR125" s="122">
        <f>客服部最终提成计算表!$X127*0.15*0.8*0.05*'18年合同登记表'!AL158/'18年合同登记表'!$M158</f>
        <v>0</v>
      </c>
      <c r="AS125" s="122">
        <f>客服部最终提成计算表!$X127*0.15*0.8*0.02*'18年合同登记表'!AL158/'18年合同登记表'!$M158</f>
        <v>0</v>
      </c>
      <c r="AT125" s="122">
        <f>客服部最终提成计算表!$X127*0.15*0.8*0.85*'18年合同登记表'!AN158/'18年合同登记表'!$M158</f>
        <v>928.2</v>
      </c>
      <c r="AU125" s="122">
        <f>客服部最终提成计算表!$X127*0.15*0.8*0.08*'18年合同登记表'!AN158/'18年合同登记表'!$M158</f>
        <v>87.36</v>
      </c>
      <c r="AV125" s="122">
        <f>客服部最终提成计算表!$X127*0.15*0.8*0.05*'18年合同登记表'!AN158/'18年合同登记表'!$M158</f>
        <v>54.6</v>
      </c>
      <c r="AW125" s="122">
        <f>客服部最终提成计算表!$X127*0.15*0.8*0.02*'18年合同登记表'!AN158/'18年合同登记表'!$M158</f>
        <v>21.84</v>
      </c>
      <c r="AX125" s="122">
        <f>客服部最终提成计算表!$X127*0.15*0.8*0.85*'18年合同登记表'!AP158/'18年合同登记表'!$M158</f>
        <v>0</v>
      </c>
      <c r="AY125" s="122">
        <f>客服部最终提成计算表!$X127*0.15*0.8*0.08*'18年合同登记表'!AP158/'18年合同登记表'!$M158</f>
        <v>0</v>
      </c>
      <c r="AZ125" s="122">
        <f>客服部最终提成计算表!$X127*0.15*0.8*0.05*'18年合同登记表'!AP158/'18年合同登记表'!$M158</f>
        <v>0</v>
      </c>
      <c r="BA125" s="131">
        <f>客服部最终提成计算表!$X127*0.15*0.8*0.02*'18年合同登记表'!AP158/'18年合同登记表'!$M158</f>
        <v>0</v>
      </c>
    </row>
    <row r="126" s="104" customFormat="1" ht="14.25" spans="1:53">
      <c r="A126" s="117"/>
      <c r="B126" s="118" t="e">
        <f>'18年合同登记表'!#REF!</f>
        <v>#REF!</v>
      </c>
      <c r="C126" s="119" t="e">
        <f>'18年合同登记表'!#REF!</f>
        <v>#REF!</v>
      </c>
      <c r="D126" s="119" t="e">
        <f>'18年合同登记表'!#REF!</f>
        <v>#REF!</v>
      </c>
      <c r="E126" s="120" t="e">
        <f>'18年合同登记表'!#REF!</f>
        <v>#REF!</v>
      </c>
      <c r="F126" s="121" t="e">
        <f>客服部最终提成计算表!$X128*0.15*0.8*0.85*'18年合同登记表'!#REF!/'18年合同登记表'!#REF!</f>
        <v>#REF!</v>
      </c>
      <c r="G126" s="122" t="e">
        <f>客服部最终提成计算表!$X128*0.15*0.8*0.08*'18年合同登记表'!#REF!/'18年合同登记表'!#REF!</f>
        <v>#REF!</v>
      </c>
      <c r="H126" s="122" t="e">
        <f>客服部最终提成计算表!$X128*0.15*0.8*0.05*'18年合同登记表'!#REF!/'18年合同登记表'!#REF!</f>
        <v>#REF!</v>
      </c>
      <c r="I126" s="122" t="e">
        <f>客服部最终提成计算表!$X128*0.15*0.8*0.02*'18年合同登记表'!#REF!/'18年合同登记表'!#REF!</f>
        <v>#REF!</v>
      </c>
      <c r="J126" s="122" t="e">
        <f>客服部最终提成计算表!$X128*0.15*0.8*0.85*'18年合同登记表'!#REF!/'18年合同登记表'!#REF!</f>
        <v>#REF!</v>
      </c>
      <c r="K126" s="122" t="e">
        <f>客服部最终提成计算表!$X128*0.15*0.8*0.08*'18年合同登记表'!#REF!/'18年合同登记表'!#REF!</f>
        <v>#REF!</v>
      </c>
      <c r="L126" s="122" t="e">
        <f>客服部最终提成计算表!$X128*0.15*0.8*0.05*'18年合同登记表'!#REF!/'18年合同登记表'!#REF!</f>
        <v>#REF!</v>
      </c>
      <c r="M126" s="122" t="e">
        <f>客服部最终提成计算表!$X128*0.15*0.8*0.02*'18年合同登记表'!#REF!/'18年合同登记表'!#REF!</f>
        <v>#REF!</v>
      </c>
      <c r="N126" s="122" t="e">
        <f>客服部最终提成计算表!$X128*0.15*0.8*0.85*'18年合同登记表'!#REF!/'18年合同登记表'!#REF!</f>
        <v>#REF!</v>
      </c>
      <c r="O126" s="122" t="e">
        <f>客服部最终提成计算表!$X128*0.15*0.8*0.08*'18年合同登记表'!#REF!/'18年合同登记表'!#REF!</f>
        <v>#REF!</v>
      </c>
      <c r="P126" s="122" t="e">
        <f>客服部最终提成计算表!$X128*0.15*0.8*0.05*'18年合同登记表'!#REF!/'18年合同登记表'!#REF!</f>
        <v>#REF!</v>
      </c>
      <c r="Q126" s="122" t="e">
        <f>客服部最终提成计算表!$X128*0.15*0.8*0.02*'18年合同登记表'!#REF!/'18年合同登记表'!#REF!</f>
        <v>#REF!</v>
      </c>
      <c r="R126" s="122" t="e">
        <f>客服部最终提成计算表!$X128*0.15*0.8*0.85*'18年合同登记表'!#REF!/'18年合同登记表'!#REF!</f>
        <v>#REF!</v>
      </c>
      <c r="S126" s="122" t="e">
        <f>客服部最终提成计算表!$X128*0.15*0.8*0.08*'18年合同登记表'!#REF!/'18年合同登记表'!#REF!</f>
        <v>#REF!</v>
      </c>
      <c r="T126" s="122" t="e">
        <f>客服部最终提成计算表!$X128*0.15*0.8*0.05*'18年合同登记表'!#REF!/'18年合同登记表'!#REF!</f>
        <v>#REF!</v>
      </c>
      <c r="U126" s="122" t="e">
        <f>客服部最终提成计算表!$X128*0.15*0.8*0.02*'18年合同登记表'!#REF!/'18年合同登记表'!#REF!</f>
        <v>#REF!</v>
      </c>
      <c r="V126" s="122" t="e">
        <f>客服部最终提成计算表!$X128*0.15*0.8*0.85*'18年合同登记表'!#REF!/'18年合同登记表'!#REF!</f>
        <v>#REF!</v>
      </c>
      <c r="W126" s="122" t="e">
        <f>客服部最终提成计算表!$X128*0.15*0.8*0.08*'18年合同登记表'!#REF!/'18年合同登记表'!#REF!</f>
        <v>#REF!</v>
      </c>
      <c r="X126" s="122" t="e">
        <f>客服部最终提成计算表!$X128*0.15*0.8*0.05*'18年合同登记表'!#REF!/'18年合同登记表'!#REF!</f>
        <v>#REF!</v>
      </c>
      <c r="Y126" s="122" t="e">
        <f>客服部最终提成计算表!$X128*0.15*0.8*0.02*'18年合同登记表'!#REF!/'18年合同登记表'!#REF!</f>
        <v>#REF!</v>
      </c>
      <c r="Z126" s="122" t="e">
        <f>客服部最终提成计算表!$X128*0.15*0.8*0.85*'18年合同登记表'!#REF!/'18年合同登记表'!#REF!</f>
        <v>#REF!</v>
      </c>
      <c r="AA126" s="122" t="e">
        <f>客服部最终提成计算表!$X128*0.15*0.8*0.08*'18年合同登记表'!#REF!/'18年合同登记表'!#REF!</f>
        <v>#REF!</v>
      </c>
      <c r="AB126" s="122" t="e">
        <f>客服部最终提成计算表!$X128*0.15*0.8*0.05*'18年合同登记表'!#REF!/'18年合同登记表'!#REF!</f>
        <v>#REF!</v>
      </c>
      <c r="AC126" s="122" t="e">
        <f>客服部最终提成计算表!$X128*0.15*0.8*0.02*'18年合同登记表'!#REF!/'18年合同登记表'!#REF!</f>
        <v>#REF!</v>
      </c>
      <c r="AD126" s="122" t="e">
        <f>客服部最终提成计算表!$X128*0.15*0.8*0.85*'18年合同登记表'!#REF!/'18年合同登记表'!#REF!</f>
        <v>#REF!</v>
      </c>
      <c r="AE126" s="122" t="e">
        <f>客服部最终提成计算表!$X128*0.15*0.8*0.08*'18年合同登记表'!#REF!/'18年合同登记表'!#REF!</f>
        <v>#REF!</v>
      </c>
      <c r="AF126" s="122" t="e">
        <f>客服部最终提成计算表!$X128*0.15*0.8*0.05*'18年合同登记表'!#REF!/'18年合同登记表'!#REF!</f>
        <v>#REF!</v>
      </c>
      <c r="AG126" s="122" t="e">
        <f>客服部最终提成计算表!$X128*0.15*0.8*0.02*'18年合同登记表'!#REF!/'18年合同登记表'!#REF!</f>
        <v>#REF!</v>
      </c>
      <c r="AH126" s="122" t="e">
        <f>客服部最终提成计算表!$X128*0.15*0.8*0.85*'18年合同登记表'!#REF!/'18年合同登记表'!#REF!</f>
        <v>#REF!</v>
      </c>
      <c r="AI126" s="122" t="e">
        <f>客服部最终提成计算表!$X128*0.15*0.8*0.08*'18年合同登记表'!#REF!/'18年合同登记表'!#REF!</f>
        <v>#REF!</v>
      </c>
      <c r="AJ126" s="122" t="e">
        <f>客服部最终提成计算表!$X128*0.15*0.8*0.05*'18年合同登记表'!#REF!/'18年合同登记表'!#REF!</f>
        <v>#REF!</v>
      </c>
      <c r="AK126" s="122" t="e">
        <f>客服部最终提成计算表!$X128*0.15*0.8*0.02*'18年合同登记表'!#REF!/'18年合同登记表'!#REF!</f>
        <v>#REF!</v>
      </c>
      <c r="AL126" s="122" t="e">
        <f>客服部最终提成计算表!$X128*0.15*0.8*0.85*'18年合同登记表'!#REF!/'18年合同登记表'!#REF!</f>
        <v>#REF!</v>
      </c>
      <c r="AM126" s="122" t="e">
        <f>客服部最终提成计算表!$X128*0.15*0.8*0.08*'18年合同登记表'!#REF!/'18年合同登记表'!#REF!</f>
        <v>#REF!</v>
      </c>
      <c r="AN126" s="122" t="e">
        <f>客服部最终提成计算表!$X128*0.15*0.8*0.05*'18年合同登记表'!#REF!/'18年合同登记表'!#REF!</f>
        <v>#REF!</v>
      </c>
      <c r="AO126" s="122" t="e">
        <f>客服部最终提成计算表!$X128*0.15*0.8*0.02*'18年合同登记表'!#REF!/'18年合同登记表'!#REF!</f>
        <v>#REF!</v>
      </c>
      <c r="AP126" s="122" t="e">
        <f>客服部最终提成计算表!$X128*0.15*0.8*0.85*'18年合同登记表'!#REF!/'18年合同登记表'!#REF!</f>
        <v>#REF!</v>
      </c>
      <c r="AQ126" s="122" t="e">
        <f>客服部最终提成计算表!$X128*0.15*0.8*0.08*'18年合同登记表'!#REF!/'18年合同登记表'!#REF!</f>
        <v>#REF!</v>
      </c>
      <c r="AR126" s="122" t="e">
        <f>客服部最终提成计算表!$X128*0.15*0.8*0.05*'18年合同登记表'!#REF!/'18年合同登记表'!#REF!</f>
        <v>#REF!</v>
      </c>
      <c r="AS126" s="122" t="e">
        <f>客服部最终提成计算表!$X128*0.15*0.8*0.02*'18年合同登记表'!#REF!/'18年合同登记表'!#REF!</f>
        <v>#REF!</v>
      </c>
      <c r="AT126" s="122" t="e">
        <f>客服部最终提成计算表!$X128*0.15*0.8*0.85*'18年合同登记表'!#REF!/'18年合同登记表'!#REF!</f>
        <v>#REF!</v>
      </c>
      <c r="AU126" s="122" t="e">
        <f>客服部最终提成计算表!$X128*0.15*0.8*0.08*'18年合同登记表'!#REF!/'18年合同登记表'!#REF!</f>
        <v>#REF!</v>
      </c>
      <c r="AV126" s="122" t="e">
        <f>客服部最终提成计算表!$X128*0.15*0.8*0.05*'18年合同登记表'!#REF!/'18年合同登记表'!#REF!</f>
        <v>#REF!</v>
      </c>
      <c r="AW126" s="122" t="e">
        <f>客服部最终提成计算表!$X128*0.15*0.8*0.02*'18年合同登记表'!#REF!/'18年合同登记表'!#REF!</f>
        <v>#REF!</v>
      </c>
      <c r="AX126" s="122" t="e">
        <f>客服部最终提成计算表!$X128*0.15*0.8*0.85*'18年合同登记表'!#REF!/'18年合同登记表'!#REF!</f>
        <v>#REF!</v>
      </c>
      <c r="AY126" s="122" t="e">
        <f>客服部最终提成计算表!$X128*0.15*0.8*0.08*'18年合同登记表'!#REF!/'18年合同登记表'!#REF!</f>
        <v>#REF!</v>
      </c>
      <c r="AZ126" s="122" t="e">
        <f>客服部最终提成计算表!$X128*0.15*0.8*0.05*'18年合同登记表'!#REF!/'18年合同登记表'!#REF!</f>
        <v>#REF!</v>
      </c>
      <c r="BA126" s="131" t="e">
        <f>客服部最终提成计算表!$X128*0.15*0.8*0.02*'18年合同登记表'!#REF!/'18年合同登记表'!#REF!</f>
        <v>#REF!</v>
      </c>
    </row>
    <row r="127" s="104" customFormat="1" ht="14.25" spans="1:53">
      <c r="A127" s="117"/>
      <c r="B127" s="118" t="str">
        <f>'18年合同登记表'!F159</f>
        <v>海联物业</v>
      </c>
      <c r="C127" s="119" t="str">
        <f>'18年合同登记表'!H159</f>
        <v>NHY-20181031-L-01-01-049</v>
      </c>
      <c r="D127" s="119" t="str">
        <f>'18年合同登记表'!I159</f>
        <v>直燃机维保，水处理</v>
      </c>
      <c r="E127" s="120" t="str">
        <f>'18年合同登记表'!L159</f>
        <v>陈勇</v>
      </c>
      <c r="F127" s="121">
        <f>客服部最终提成计算表!$X129*0.15*0.8*0.85*'18年合同登记表'!T159/'18年合同登记表'!$M159</f>
        <v>0</v>
      </c>
      <c r="G127" s="122">
        <f>客服部最终提成计算表!$X129*0.15*0.8*0.08*'18年合同登记表'!T159/'18年合同登记表'!$M159</f>
        <v>0</v>
      </c>
      <c r="H127" s="122">
        <f>客服部最终提成计算表!$X129*0.15*0.8*0.05*'18年合同登记表'!T159/'18年合同登记表'!$M159</f>
        <v>0</v>
      </c>
      <c r="I127" s="122">
        <f>客服部最终提成计算表!$X129*0.15*0.8*0.02*'18年合同登记表'!T159/'18年合同登记表'!$M159</f>
        <v>0</v>
      </c>
      <c r="J127" s="122">
        <f>客服部最终提成计算表!$X129*0.15*0.8*0.85*'18年合同登记表'!V159/'18年合同登记表'!$M159</f>
        <v>0</v>
      </c>
      <c r="K127" s="122">
        <f>客服部最终提成计算表!$X129*0.15*0.8*0.08*'18年合同登记表'!V159/'18年合同登记表'!$M159</f>
        <v>0</v>
      </c>
      <c r="L127" s="122">
        <f>客服部最终提成计算表!$X129*0.15*0.8*0.05*'18年合同登记表'!V159/'18年合同登记表'!$M159</f>
        <v>0</v>
      </c>
      <c r="M127" s="122">
        <f>客服部最终提成计算表!$X129*0.15*0.8*0.02*'18年合同登记表'!V159/'18年合同登记表'!$M159</f>
        <v>0</v>
      </c>
      <c r="N127" s="122">
        <f>客服部最终提成计算表!$X129*0.15*0.8*0.85*'18年合同登记表'!X159/'18年合同登记表'!$M159</f>
        <v>0</v>
      </c>
      <c r="O127" s="122">
        <f>客服部最终提成计算表!$X129*0.15*0.8*0.08*'18年合同登记表'!X159/'18年合同登记表'!$M159</f>
        <v>0</v>
      </c>
      <c r="P127" s="122">
        <f>客服部最终提成计算表!$X129*0.15*0.8*0.05*'18年合同登记表'!X159/'18年合同登记表'!$M159</f>
        <v>0</v>
      </c>
      <c r="Q127" s="122">
        <f>客服部最终提成计算表!$X129*0.15*0.8*0.02*'18年合同登记表'!X159/'18年合同登记表'!$M159</f>
        <v>0</v>
      </c>
      <c r="R127" s="122">
        <f>客服部最终提成计算表!$X129*0.15*0.8*0.85*'18年合同登记表'!Z159/'18年合同登记表'!$M159</f>
        <v>0</v>
      </c>
      <c r="S127" s="122">
        <f>客服部最终提成计算表!$X129*0.15*0.8*0.08*'18年合同登记表'!Z159/'18年合同登记表'!$M159</f>
        <v>0</v>
      </c>
      <c r="T127" s="122">
        <f>客服部最终提成计算表!$X129*0.15*0.8*0.05*'18年合同登记表'!Z159/'18年合同登记表'!$M159</f>
        <v>0</v>
      </c>
      <c r="U127" s="122">
        <f>客服部最终提成计算表!$X129*0.15*0.8*0.02*'18年合同登记表'!Z159/'18年合同登记表'!$M159</f>
        <v>0</v>
      </c>
      <c r="V127" s="122">
        <f>客服部最终提成计算表!$X129*0.15*0.8*0.85*'18年合同登记表'!AB159/'18年合同登记表'!$M159</f>
        <v>0</v>
      </c>
      <c r="W127" s="122">
        <f>客服部最终提成计算表!$X129*0.15*0.8*0.08*'18年合同登记表'!AB159/'18年合同登记表'!$M159</f>
        <v>0</v>
      </c>
      <c r="X127" s="122">
        <f>客服部最终提成计算表!$X129*0.15*0.8*0.05*'18年合同登记表'!AB159/'18年合同登记表'!$M159</f>
        <v>0</v>
      </c>
      <c r="Y127" s="122">
        <f>客服部最终提成计算表!$X129*0.15*0.8*0.02*'18年合同登记表'!AB159/'18年合同登记表'!$M159</f>
        <v>0</v>
      </c>
      <c r="Z127" s="122">
        <f>客服部最终提成计算表!$X129*0.15*0.8*0.85*'18年合同登记表'!AD159/'18年合同登记表'!$M159</f>
        <v>0</v>
      </c>
      <c r="AA127" s="122">
        <f>客服部最终提成计算表!$X129*0.15*0.8*0.08*'18年合同登记表'!AD159/'18年合同登记表'!$M159</f>
        <v>0</v>
      </c>
      <c r="AB127" s="122">
        <f>客服部最终提成计算表!$X129*0.15*0.8*0.05*'18年合同登记表'!AD159/'18年合同登记表'!$M159</f>
        <v>0</v>
      </c>
      <c r="AC127" s="122">
        <f>客服部最终提成计算表!$X129*0.15*0.8*0.02*'18年合同登记表'!AD159/'18年合同登记表'!$M159</f>
        <v>0</v>
      </c>
      <c r="AD127" s="122">
        <f>客服部最终提成计算表!$X129*0.15*0.8*0.85*'18年合同登记表'!AF159/'18年合同登记表'!$M159</f>
        <v>0</v>
      </c>
      <c r="AE127" s="122">
        <f>客服部最终提成计算表!$X129*0.15*0.8*0.08*'18年合同登记表'!AF159/'18年合同登记表'!$M159</f>
        <v>0</v>
      </c>
      <c r="AF127" s="122">
        <f>客服部最终提成计算表!$X129*0.15*0.8*0.05*'18年合同登记表'!AF159/'18年合同登记表'!$M159</f>
        <v>0</v>
      </c>
      <c r="AG127" s="122">
        <f>客服部最终提成计算表!$X129*0.15*0.8*0.02*'18年合同登记表'!AF159/'18年合同登记表'!$M159</f>
        <v>0</v>
      </c>
      <c r="AH127" s="122">
        <f>客服部最终提成计算表!$X129*0.15*0.8*0.85*'18年合同登记表'!AH159/'18年合同登记表'!$M159</f>
        <v>0</v>
      </c>
      <c r="AI127" s="122">
        <f>客服部最终提成计算表!$X129*0.15*0.8*0.08*'18年合同登记表'!AH159/'18年合同登记表'!$M159</f>
        <v>0</v>
      </c>
      <c r="AJ127" s="122">
        <f>客服部最终提成计算表!$X129*0.15*0.8*0.05*'18年合同登记表'!AH159/'18年合同登记表'!$M159</f>
        <v>0</v>
      </c>
      <c r="AK127" s="122">
        <f>客服部最终提成计算表!$X129*0.15*0.8*0.02*'18年合同登记表'!AH159/'18年合同登记表'!$M159</f>
        <v>0</v>
      </c>
      <c r="AL127" s="122">
        <f>客服部最终提成计算表!$X129*0.15*0.8*0.85*'18年合同登记表'!AJ159/'18年合同登记表'!$M159</f>
        <v>0</v>
      </c>
      <c r="AM127" s="122">
        <f>客服部最终提成计算表!$X129*0.15*0.8*0.08*'18年合同登记表'!AJ159/'18年合同登记表'!$M159</f>
        <v>0</v>
      </c>
      <c r="AN127" s="122">
        <f>客服部最终提成计算表!$X129*0.15*0.8*0.05*'18年合同登记表'!AJ159/'18年合同登记表'!$M159</f>
        <v>0</v>
      </c>
      <c r="AO127" s="122">
        <f>客服部最终提成计算表!$X129*0.15*0.8*0.02*'18年合同登记表'!AJ159/'18年合同登记表'!$M159</f>
        <v>0</v>
      </c>
      <c r="AP127" s="122">
        <f>客服部最终提成计算表!$X129*0.15*0.8*0.85*'18年合同登记表'!AL159/'18年合同登记表'!$M159</f>
        <v>0</v>
      </c>
      <c r="AQ127" s="122">
        <f>客服部最终提成计算表!$X129*0.15*0.8*0.08*'18年合同登记表'!AL159/'18年合同登记表'!$M159</f>
        <v>0</v>
      </c>
      <c r="AR127" s="122">
        <f>客服部最终提成计算表!$X129*0.15*0.8*0.05*'18年合同登记表'!AL159/'18年合同登记表'!$M159</f>
        <v>0</v>
      </c>
      <c r="AS127" s="122">
        <f>客服部最终提成计算表!$X129*0.15*0.8*0.02*'18年合同登记表'!AL159/'18年合同登记表'!$M159</f>
        <v>0</v>
      </c>
      <c r="AT127" s="122">
        <f>客服部最终提成计算表!$X129*0.15*0.8*0.85*'18年合同登记表'!AN159/'18年合同登记表'!$M159</f>
        <v>1513.68</v>
      </c>
      <c r="AU127" s="122">
        <f>客服部最终提成计算表!$X129*0.15*0.8*0.08*'18年合同登记表'!AN159/'18年合同登记表'!$M159</f>
        <v>142.464</v>
      </c>
      <c r="AV127" s="122">
        <f>客服部最终提成计算表!$X129*0.15*0.8*0.05*'18年合同登记表'!AN159/'18年合同登记表'!$M159</f>
        <v>89.04</v>
      </c>
      <c r="AW127" s="122">
        <f>客服部最终提成计算表!$X129*0.15*0.8*0.02*'18年合同登记表'!AN159/'18年合同登记表'!$M159</f>
        <v>35.616</v>
      </c>
      <c r="AX127" s="122">
        <f>客服部最终提成计算表!$X129*0.15*0.8*0.85*'18年合同登记表'!AP159/'18年合同登记表'!$M159</f>
        <v>0</v>
      </c>
      <c r="AY127" s="122">
        <f>客服部最终提成计算表!$X129*0.15*0.8*0.08*'18年合同登记表'!AP159/'18年合同登记表'!$M159</f>
        <v>0</v>
      </c>
      <c r="AZ127" s="122">
        <f>客服部最终提成计算表!$X129*0.15*0.8*0.05*'18年合同登记表'!AP159/'18年合同登记表'!$M159</f>
        <v>0</v>
      </c>
      <c r="BA127" s="131">
        <f>客服部最终提成计算表!$X129*0.15*0.8*0.02*'18年合同登记表'!AP159/'18年合同登记表'!$M159</f>
        <v>0</v>
      </c>
    </row>
    <row r="128" s="104" customFormat="1" ht="14.25" spans="1:53">
      <c r="A128" s="117"/>
      <c r="B128" s="118" t="str">
        <f>'18年合同登记表'!D170</f>
        <v>陈勇</v>
      </c>
      <c r="C128" s="119" t="str">
        <f>'18年合同登记表'!G170</f>
        <v>国电南瑞科技股份有限公司</v>
      </c>
      <c r="D128" s="119" t="str">
        <f>'18年合同登记表'!H170</f>
        <v>无</v>
      </c>
      <c r="E128" s="120">
        <f>'18年合同登记表'!J170</f>
        <v>43405</v>
      </c>
      <c r="F128" s="121">
        <f>客服部最终提成计算表!$X130*0.15*0.8*0.85*'18年合同登记表'!T170/'18年合同登记表'!$K170</f>
        <v>0</v>
      </c>
      <c r="G128" s="122">
        <f>客服部最终提成计算表!$X130*0.15*0.8*0.08*'18年合同登记表'!T170/'18年合同登记表'!$K170</f>
        <v>0</v>
      </c>
      <c r="H128" s="122">
        <f>客服部最终提成计算表!$X130*0.15*0.8*0.05*'18年合同登记表'!T170/'18年合同登记表'!$K170</f>
        <v>0</v>
      </c>
      <c r="I128" s="122">
        <f>客服部最终提成计算表!$X130*0.15*0.8*0.02*'18年合同登记表'!T170/'18年合同登记表'!$K170</f>
        <v>0</v>
      </c>
      <c r="J128" s="122">
        <f>客服部最终提成计算表!$X130*0.15*0.8*0.85*'18年合同登记表'!V170/'18年合同登记表'!$K170</f>
        <v>0</v>
      </c>
      <c r="K128" s="122">
        <f>客服部最终提成计算表!$X130*0.15*0.8*0.08*'18年合同登记表'!V170/'18年合同登记表'!$K170</f>
        <v>0</v>
      </c>
      <c r="L128" s="122">
        <f>客服部最终提成计算表!$X130*0.15*0.8*0.05*'18年合同登记表'!V170/'18年合同登记表'!$K170</f>
        <v>0</v>
      </c>
      <c r="M128" s="122">
        <f>客服部最终提成计算表!$X130*0.15*0.8*0.02*'18年合同登记表'!V170/'18年合同登记表'!$K170</f>
        <v>0</v>
      </c>
      <c r="N128" s="122">
        <f>客服部最终提成计算表!$X130*0.15*0.8*0.85*'18年合同登记表'!X170/'18年合同登记表'!$K170</f>
        <v>0</v>
      </c>
      <c r="O128" s="122">
        <f>客服部最终提成计算表!$X130*0.15*0.8*0.08*'18年合同登记表'!X170/'18年合同登记表'!$K170</f>
        <v>0</v>
      </c>
      <c r="P128" s="122">
        <f>客服部最终提成计算表!$X130*0.15*0.8*0.05*'18年合同登记表'!X170/'18年合同登记表'!$K170</f>
        <v>0</v>
      </c>
      <c r="Q128" s="122">
        <f>客服部最终提成计算表!$X130*0.15*0.8*0.02*'18年合同登记表'!X170/'18年合同登记表'!$K170</f>
        <v>0</v>
      </c>
      <c r="R128" s="122">
        <f>客服部最终提成计算表!$X130*0.15*0.8*0.85*'18年合同登记表'!Z170/'18年合同登记表'!$K170</f>
        <v>0</v>
      </c>
      <c r="S128" s="122">
        <f>客服部最终提成计算表!$X130*0.15*0.8*0.08*'18年合同登记表'!Z170/'18年合同登记表'!$K170</f>
        <v>0</v>
      </c>
      <c r="T128" s="122">
        <f>客服部最终提成计算表!$X130*0.15*0.8*0.05*'18年合同登记表'!Z170/'18年合同登记表'!$K170</f>
        <v>0</v>
      </c>
      <c r="U128" s="122">
        <f>客服部最终提成计算表!$X130*0.15*0.8*0.02*'18年合同登记表'!Z170/'18年合同登记表'!$K170</f>
        <v>0</v>
      </c>
      <c r="V128" s="122">
        <f>客服部最终提成计算表!$X130*0.15*0.8*0.85*'18年合同登记表'!AB170/'18年合同登记表'!$K170</f>
        <v>0</v>
      </c>
      <c r="W128" s="122">
        <f>客服部最终提成计算表!$X130*0.15*0.8*0.08*'18年合同登记表'!AB170/'18年合同登记表'!$K170</f>
        <v>0</v>
      </c>
      <c r="X128" s="122">
        <f>客服部最终提成计算表!$X130*0.15*0.8*0.05*'18年合同登记表'!AB170/'18年合同登记表'!$K170</f>
        <v>0</v>
      </c>
      <c r="Y128" s="122">
        <f>客服部最终提成计算表!$X130*0.15*0.8*0.02*'18年合同登记表'!AB170/'18年合同登记表'!$K170</f>
        <v>0</v>
      </c>
      <c r="Z128" s="122">
        <f>客服部最终提成计算表!$X130*0.15*0.8*0.85*'18年合同登记表'!AD170/'18年合同登记表'!$K170</f>
        <v>0</v>
      </c>
      <c r="AA128" s="122">
        <f>客服部最终提成计算表!$X130*0.15*0.8*0.08*'18年合同登记表'!AD170/'18年合同登记表'!$K170</f>
        <v>0</v>
      </c>
      <c r="AB128" s="122">
        <f>客服部最终提成计算表!$X130*0.15*0.8*0.05*'18年合同登记表'!AD170/'18年合同登记表'!$K170</f>
        <v>0</v>
      </c>
      <c r="AC128" s="122">
        <f>客服部最终提成计算表!$X130*0.15*0.8*0.02*'18年合同登记表'!AD170/'18年合同登记表'!$K170</f>
        <v>0</v>
      </c>
      <c r="AD128" s="122">
        <f>客服部最终提成计算表!$X130*0.15*0.8*0.85*'18年合同登记表'!AF170/'18年合同登记表'!$K170</f>
        <v>0</v>
      </c>
      <c r="AE128" s="122">
        <f>客服部最终提成计算表!$X130*0.15*0.8*0.08*'18年合同登记表'!AF170/'18年合同登记表'!$K170</f>
        <v>0</v>
      </c>
      <c r="AF128" s="122">
        <f>客服部最终提成计算表!$X130*0.15*0.8*0.05*'18年合同登记表'!AF170/'18年合同登记表'!$K170</f>
        <v>0</v>
      </c>
      <c r="AG128" s="122">
        <f>客服部最终提成计算表!$X130*0.15*0.8*0.02*'18年合同登记表'!AF170/'18年合同登记表'!$K170</f>
        <v>0</v>
      </c>
      <c r="AH128" s="122">
        <f>客服部最终提成计算表!$X130*0.15*0.8*0.85*'18年合同登记表'!AH170/'18年合同登记表'!$K170</f>
        <v>0</v>
      </c>
      <c r="AI128" s="122">
        <f>客服部最终提成计算表!$X130*0.15*0.8*0.08*'18年合同登记表'!AH170/'18年合同登记表'!$K170</f>
        <v>0</v>
      </c>
      <c r="AJ128" s="122">
        <f>客服部最终提成计算表!$X130*0.15*0.8*0.05*'18年合同登记表'!AH170/'18年合同登记表'!$K170</f>
        <v>0</v>
      </c>
      <c r="AK128" s="122">
        <f>客服部最终提成计算表!$X130*0.15*0.8*0.02*'18年合同登记表'!AH170/'18年合同登记表'!$K170</f>
        <v>0</v>
      </c>
      <c r="AL128" s="122">
        <f>客服部最终提成计算表!$X130*0.15*0.8*0.85*'18年合同登记表'!AJ170/'18年合同登记表'!$K170</f>
        <v>0</v>
      </c>
      <c r="AM128" s="122">
        <f>客服部最终提成计算表!$X130*0.15*0.8*0.08*'18年合同登记表'!AJ170/'18年合同登记表'!$K170</f>
        <v>0</v>
      </c>
      <c r="AN128" s="122">
        <f>客服部最终提成计算表!$X130*0.15*0.8*0.05*'18年合同登记表'!AJ170/'18年合同登记表'!$K170</f>
        <v>0</v>
      </c>
      <c r="AO128" s="122">
        <f>客服部最终提成计算表!$X130*0.15*0.8*0.02*'18年合同登记表'!AJ170/'18年合同登记表'!$K170</f>
        <v>0</v>
      </c>
      <c r="AP128" s="122">
        <f>客服部最终提成计算表!$X130*0.15*0.8*0.85*'18年合同登记表'!AL170/'18年合同登记表'!$K170</f>
        <v>0</v>
      </c>
      <c r="AQ128" s="122">
        <f>客服部最终提成计算表!$X130*0.15*0.8*0.08*'18年合同登记表'!AL170/'18年合同登记表'!$K170</f>
        <v>0</v>
      </c>
      <c r="AR128" s="122">
        <f>客服部最终提成计算表!$X130*0.15*0.8*0.05*'18年合同登记表'!AL170/'18年合同登记表'!$K170</f>
        <v>0</v>
      </c>
      <c r="AS128" s="122">
        <f>客服部最终提成计算表!$X130*0.15*0.8*0.02*'18年合同登记表'!AL170/'18年合同登记表'!$K170</f>
        <v>0</v>
      </c>
      <c r="AT128" s="122">
        <f>客服部最终提成计算表!$X130*0.15*0.8*0.85*'18年合同登记表'!AN170/'18年合同登记表'!$K170</f>
        <v>0</v>
      </c>
      <c r="AU128" s="122">
        <f>客服部最终提成计算表!$X130*0.15*0.8*0.08*'18年合同登记表'!AN170/'18年合同登记表'!$K170</f>
        <v>0</v>
      </c>
      <c r="AV128" s="122">
        <f>客服部最终提成计算表!$X130*0.15*0.8*0.05*'18年合同登记表'!AN170/'18年合同登记表'!$K170</f>
        <v>0</v>
      </c>
      <c r="AW128" s="122">
        <f>客服部最终提成计算表!$X130*0.15*0.8*0.02*'18年合同登记表'!AN170/'18年合同登记表'!$K170</f>
        <v>0</v>
      </c>
      <c r="AX128" s="122">
        <f>客服部最终提成计算表!$X130*0.15*0.8*0.85*'18年合同登记表'!AP170/'18年合同登记表'!$K170</f>
        <v>0</v>
      </c>
      <c r="AY128" s="122">
        <f>客服部最终提成计算表!$X130*0.15*0.8*0.08*'18年合同登记表'!AP170/'18年合同登记表'!$K170</f>
        <v>0</v>
      </c>
      <c r="AZ128" s="122">
        <f>客服部最终提成计算表!$X130*0.15*0.8*0.05*'18年合同登记表'!AP170/'18年合同登记表'!$K170</f>
        <v>0</v>
      </c>
      <c r="BA128" s="131">
        <f>客服部最终提成计算表!$X130*0.15*0.8*0.02*'18年合同登记表'!AP170/'18年合同登记表'!$K170</f>
        <v>0</v>
      </c>
    </row>
    <row r="129" s="104" customFormat="1" ht="14.25" spans="1:53">
      <c r="A129" s="117"/>
      <c r="B129" s="118" t="e">
        <f>'18年合同登记表'!#REF!</f>
        <v>#REF!</v>
      </c>
      <c r="C129" s="119" t="e">
        <f>'18年合同登记表'!#REF!</f>
        <v>#REF!</v>
      </c>
      <c r="D129" s="119" t="e">
        <f>'18年合同登记表'!#REF!</f>
        <v>#REF!</v>
      </c>
      <c r="E129" s="120" t="e">
        <f>'18年合同登记表'!#REF!</f>
        <v>#REF!</v>
      </c>
      <c r="F129" s="121" t="e">
        <f>客服部最终提成计算表!$X131*0.15*0.8*0.85*'18年合同登记表'!#REF!/'18年合同登记表'!#REF!</f>
        <v>#REF!</v>
      </c>
      <c r="G129" s="122" t="e">
        <f>客服部最终提成计算表!$X131*0.15*0.8*0.08*'18年合同登记表'!#REF!/'18年合同登记表'!#REF!</f>
        <v>#REF!</v>
      </c>
      <c r="H129" s="122" t="e">
        <f>客服部最终提成计算表!$X131*0.15*0.8*0.05*'18年合同登记表'!#REF!/'18年合同登记表'!#REF!</f>
        <v>#REF!</v>
      </c>
      <c r="I129" s="122" t="e">
        <f>客服部最终提成计算表!$X131*0.15*0.8*0.02*'18年合同登记表'!#REF!/'18年合同登记表'!#REF!</f>
        <v>#REF!</v>
      </c>
      <c r="J129" s="122" t="e">
        <f>客服部最终提成计算表!$X131*0.15*0.8*0.85*'18年合同登记表'!#REF!/'18年合同登记表'!#REF!</f>
        <v>#REF!</v>
      </c>
      <c r="K129" s="122" t="e">
        <f>客服部最终提成计算表!$X131*0.15*0.8*0.08*'18年合同登记表'!#REF!/'18年合同登记表'!#REF!</f>
        <v>#REF!</v>
      </c>
      <c r="L129" s="122" t="e">
        <f>客服部最终提成计算表!$X131*0.15*0.8*0.05*'18年合同登记表'!#REF!/'18年合同登记表'!#REF!</f>
        <v>#REF!</v>
      </c>
      <c r="M129" s="122" t="e">
        <f>客服部最终提成计算表!$X131*0.15*0.8*0.02*'18年合同登记表'!#REF!/'18年合同登记表'!#REF!</f>
        <v>#REF!</v>
      </c>
      <c r="N129" s="122" t="e">
        <f>客服部最终提成计算表!$X131*0.15*0.8*0.85*'18年合同登记表'!#REF!/'18年合同登记表'!#REF!</f>
        <v>#REF!</v>
      </c>
      <c r="O129" s="122" t="e">
        <f>客服部最终提成计算表!$X131*0.15*0.8*0.08*'18年合同登记表'!#REF!/'18年合同登记表'!#REF!</f>
        <v>#REF!</v>
      </c>
      <c r="P129" s="122" t="e">
        <f>客服部最终提成计算表!$X131*0.15*0.8*0.05*'18年合同登记表'!#REF!/'18年合同登记表'!#REF!</f>
        <v>#REF!</v>
      </c>
      <c r="Q129" s="122" t="e">
        <f>客服部最终提成计算表!$X131*0.15*0.8*0.02*'18年合同登记表'!#REF!/'18年合同登记表'!#REF!</f>
        <v>#REF!</v>
      </c>
      <c r="R129" s="122" t="e">
        <f>客服部最终提成计算表!$X131*0.15*0.8*0.85*'18年合同登记表'!#REF!/'18年合同登记表'!#REF!</f>
        <v>#REF!</v>
      </c>
      <c r="S129" s="122" t="e">
        <f>客服部最终提成计算表!$X131*0.15*0.8*0.08*'18年合同登记表'!#REF!/'18年合同登记表'!#REF!</f>
        <v>#REF!</v>
      </c>
      <c r="T129" s="122" t="e">
        <f>客服部最终提成计算表!$X131*0.15*0.8*0.05*'18年合同登记表'!#REF!/'18年合同登记表'!#REF!</f>
        <v>#REF!</v>
      </c>
      <c r="U129" s="122" t="e">
        <f>客服部最终提成计算表!$X131*0.15*0.8*0.02*'18年合同登记表'!#REF!/'18年合同登记表'!#REF!</f>
        <v>#REF!</v>
      </c>
      <c r="V129" s="122" t="e">
        <f>客服部最终提成计算表!$X131*0.15*0.8*0.85*'18年合同登记表'!#REF!/'18年合同登记表'!#REF!</f>
        <v>#REF!</v>
      </c>
      <c r="W129" s="122" t="e">
        <f>客服部最终提成计算表!$X131*0.15*0.8*0.08*'18年合同登记表'!#REF!/'18年合同登记表'!#REF!</f>
        <v>#REF!</v>
      </c>
      <c r="X129" s="122" t="e">
        <f>客服部最终提成计算表!$X131*0.15*0.8*0.05*'18年合同登记表'!#REF!/'18年合同登记表'!#REF!</f>
        <v>#REF!</v>
      </c>
      <c r="Y129" s="122" t="e">
        <f>客服部最终提成计算表!$X131*0.15*0.8*0.02*'18年合同登记表'!#REF!/'18年合同登记表'!#REF!</f>
        <v>#REF!</v>
      </c>
      <c r="Z129" s="122" t="e">
        <f>客服部最终提成计算表!$X131*0.15*0.8*0.85*'18年合同登记表'!#REF!/'18年合同登记表'!#REF!</f>
        <v>#REF!</v>
      </c>
      <c r="AA129" s="122" t="e">
        <f>客服部最终提成计算表!$X131*0.15*0.8*0.08*'18年合同登记表'!#REF!/'18年合同登记表'!#REF!</f>
        <v>#REF!</v>
      </c>
      <c r="AB129" s="122" t="e">
        <f>客服部最终提成计算表!$X131*0.15*0.8*0.05*'18年合同登记表'!#REF!/'18年合同登记表'!#REF!</f>
        <v>#REF!</v>
      </c>
      <c r="AC129" s="122" t="e">
        <f>客服部最终提成计算表!$X131*0.15*0.8*0.02*'18年合同登记表'!#REF!/'18年合同登记表'!#REF!</f>
        <v>#REF!</v>
      </c>
      <c r="AD129" s="122" t="e">
        <f>客服部最终提成计算表!$X131*0.15*0.8*0.85*'18年合同登记表'!#REF!/'18年合同登记表'!#REF!</f>
        <v>#REF!</v>
      </c>
      <c r="AE129" s="122" t="e">
        <f>客服部最终提成计算表!$X131*0.15*0.8*0.08*'18年合同登记表'!#REF!/'18年合同登记表'!#REF!</f>
        <v>#REF!</v>
      </c>
      <c r="AF129" s="122" t="e">
        <f>客服部最终提成计算表!$X131*0.15*0.8*0.05*'18年合同登记表'!#REF!/'18年合同登记表'!#REF!</f>
        <v>#REF!</v>
      </c>
      <c r="AG129" s="122" t="e">
        <f>客服部最终提成计算表!$X131*0.15*0.8*0.02*'18年合同登记表'!#REF!/'18年合同登记表'!#REF!</f>
        <v>#REF!</v>
      </c>
      <c r="AH129" s="122" t="e">
        <f>客服部最终提成计算表!$X131*0.15*0.8*0.85*'18年合同登记表'!#REF!/'18年合同登记表'!#REF!</f>
        <v>#REF!</v>
      </c>
      <c r="AI129" s="122" t="e">
        <f>客服部最终提成计算表!$X131*0.15*0.8*0.08*'18年合同登记表'!#REF!/'18年合同登记表'!#REF!</f>
        <v>#REF!</v>
      </c>
      <c r="AJ129" s="122" t="e">
        <f>客服部最终提成计算表!$X131*0.15*0.8*0.05*'18年合同登记表'!#REF!/'18年合同登记表'!#REF!</f>
        <v>#REF!</v>
      </c>
      <c r="AK129" s="122" t="e">
        <f>客服部最终提成计算表!$X131*0.15*0.8*0.02*'18年合同登记表'!#REF!/'18年合同登记表'!#REF!</f>
        <v>#REF!</v>
      </c>
      <c r="AL129" s="122" t="e">
        <f>客服部最终提成计算表!$X131*0.15*0.8*0.85*'18年合同登记表'!#REF!/'18年合同登记表'!#REF!</f>
        <v>#REF!</v>
      </c>
      <c r="AM129" s="122" t="e">
        <f>客服部最终提成计算表!$X131*0.15*0.8*0.08*'18年合同登记表'!#REF!/'18年合同登记表'!#REF!</f>
        <v>#REF!</v>
      </c>
      <c r="AN129" s="122" t="e">
        <f>客服部最终提成计算表!$X131*0.15*0.8*0.05*'18年合同登记表'!#REF!/'18年合同登记表'!#REF!</f>
        <v>#REF!</v>
      </c>
      <c r="AO129" s="122" t="e">
        <f>客服部最终提成计算表!$X131*0.15*0.8*0.02*'18年合同登记表'!#REF!/'18年合同登记表'!#REF!</f>
        <v>#REF!</v>
      </c>
      <c r="AP129" s="122" t="e">
        <f>客服部最终提成计算表!$X131*0.15*0.8*0.85*'18年合同登记表'!#REF!/'18年合同登记表'!#REF!</f>
        <v>#REF!</v>
      </c>
      <c r="AQ129" s="122" t="e">
        <f>客服部最终提成计算表!$X131*0.15*0.8*0.08*'18年合同登记表'!#REF!/'18年合同登记表'!#REF!</f>
        <v>#REF!</v>
      </c>
      <c r="AR129" s="122" t="e">
        <f>客服部最终提成计算表!$X131*0.15*0.8*0.05*'18年合同登记表'!#REF!/'18年合同登记表'!#REF!</f>
        <v>#REF!</v>
      </c>
      <c r="AS129" s="122" t="e">
        <f>客服部最终提成计算表!$X131*0.15*0.8*0.02*'18年合同登记表'!#REF!/'18年合同登记表'!#REF!</f>
        <v>#REF!</v>
      </c>
      <c r="AT129" s="122" t="e">
        <f>客服部最终提成计算表!$X131*0.15*0.8*0.85*'18年合同登记表'!#REF!/'18年合同登记表'!#REF!</f>
        <v>#REF!</v>
      </c>
      <c r="AU129" s="122" t="e">
        <f>客服部最终提成计算表!$X131*0.15*0.8*0.08*'18年合同登记表'!#REF!/'18年合同登记表'!#REF!</f>
        <v>#REF!</v>
      </c>
      <c r="AV129" s="122" t="e">
        <f>客服部最终提成计算表!$X131*0.15*0.8*0.05*'18年合同登记表'!#REF!/'18年合同登记表'!#REF!</f>
        <v>#REF!</v>
      </c>
      <c r="AW129" s="122" t="e">
        <f>客服部最终提成计算表!$X131*0.15*0.8*0.02*'18年合同登记表'!#REF!/'18年合同登记表'!#REF!</f>
        <v>#REF!</v>
      </c>
      <c r="AX129" s="122" t="e">
        <f>客服部最终提成计算表!$X131*0.15*0.8*0.85*'18年合同登记表'!#REF!/'18年合同登记表'!#REF!</f>
        <v>#REF!</v>
      </c>
      <c r="AY129" s="122" t="e">
        <f>客服部最终提成计算表!$X131*0.15*0.8*0.08*'18年合同登记表'!#REF!/'18年合同登记表'!#REF!</f>
        <v>#REF!</v>
      </c>
      <c r="AZ129" s="122" t="e">
        <f>客服部最终提成计算表!$X131*0.15*0.8*0.05*'18年合同登记表'!#REF!/'18年合同登记表'!#REF!</f>
        <v>#REF!</v>
      </c>
      <c r="BA129" s="131" t="e">
        <f>客服部最终提成计算表!$X131*0.15*0.8*0.02*'18年合同登记表'!#REF!/'18年合同登记表'!#REF!</f>
        <v>#REF!</v>
      </c>
    </row>
    <row r="130" s="104" customFormat="1" ht="14.25" spans="1:53">
      <c r="A130" s="123" t="s">
        <v>992</v>
      </c>
      <c r="B130" s="124">
        <f>'18年合同登记表'!F171</f>
        <v>0</v>
      </c>
      <c r="C130" s="125">
        <f>'18年合同登记表'!H171</f>
        <v>0</v>
      </c>
      <c r="D130" s="125">
        <f>'18年合同登记表'!I171</f>
        <v>0</v>
      </c>
      <c r="E130" s="126">
        <f>'18年合同登记表'!L171</f>
        <v>0</v>
      </c>
      <c r="F130" s="127" t="e">
        <f>SUM(F122:F129)</f>
        <v>#REF!</v>
      </c>
      <c r="G130" s="128" t="e">
        <f>客服部最终提成计算表!$X132*0.15*0.8*0.08*'18年合同登记表'!T171/'18年合同登记表'!$M171</f>
        <v>#REF!</v>
      </c>
      <c r="H130" s="128" t="e">
        <f>客服部最终提成计算表!$X132*0.15*0.8*0.05*'18年合同登记表'!T171/'18年合同登记表'!$M171</f>
        <v>#REF!</v>
      </c>
      <c r="I130" s="128" t="e">
        <f>客服部最终提成计算表!$X132*0.15*0.8*0.02*'18年合同登记表'!T171/'18年合同登记表'!$M171</f>
        <v>#REF!</v>
      </c>
      <c r="J130" s="128" t="e">
        <f>客服部最终提成计算表!$X132*0.15*0.8*0.85*'18年合同登记表'!V171/'18年合同登记表'!$M171</f>
        <v>#REF!</v>
      </c>
      <c r="K130" s="128" t="e">
        <f>客服部最终提成计算表!$X132*0.15*0.8*0.08*'18年合同登记表'!V171/'18年合同登记表'!$M171</f>
        <v>#REF!</v>
      </c>
      <c r="L130" s="128" t="e">
        <f>客服部最终提成计算表!$X132*0.15*0.8*0.05*'18年合同登记表'!V171/'18年合同登记表'!$M171</f>
        <v>#REF!</v>
      </c>
      <c r="M130" s="128" t="e">
        <f>客服部最终提成计算表!$X132*0.15*0.8*0.02*'18年合同登记表'!V171/'18年合同登记表'!$M171</f>
        <v>#REF!</v>
      </c>
      <c r="N130" s="128" t="e">
        <f>客服部最终提成计算表!$X132*0.15*0.8*0.85*'18年合同登记表'!X171/'18年合同登记表'!$M171</f>
        <v>#REF!</v>
      </c>
      <c r="O130" s="128" t="e">
        <f>客服部最终提成计算表!$X132*0.15*0.8*0.08*'18年合同登记表'!X171/'18年合同登记表'!$M171</f>
        <v>#REF!</v>
      </c>
      <c r="P130" s="128" t="e">
        <f>客服部最终提成计算表!$X132*0.15*0.8*0.05*'18年合同登记表'!X171/'18年合同登记表'!$M171</f>
        <v>#REF!</v>
      </c>
      <c r="Q130" s="128" t="e">
        <f>客服部最终提成计算表!$X132*0.15*0.8*0.02*'18年合同登记表'!X171/'18年合同登记表'!$M171</f>
        <v>#REF!</v>
      </c>
      <c r="R130" s="128" t="e">
        <f>客服部最终提成计算表!$X132*0.15*0.8*0.85*'18年合同登记表'!Z171/'18年合同登记表'!$M171</f>
        <v>#REF!</v>
      </c>
      <c r="S130" s="128" t="e">
        <f>客服部最终提成计算表!$X132*0.15*0.8*0.08*'18年合同登记表'!Z171/'18年合同登记表'!$M171</f>
        <v>#REF!</v>
      </c>
      <c r="T130" s="128" t="e">
        <f>客服部最终提成计算表!$X132*0.15*0.8*0.05*'18年合同登记表'!Z171/'18年合同登记表'!$M171</f>
        <v>#REF!</v>
      </c>
      <c r="U130" s="128" t="e">
        <f>客服部最终提成计算表!$X132*0.15*0.8*0.02*'18年合同登记表'!Z171/'18年合同登记表'!$M171</f>
        <v>#REF!</v>
      </c>
      <c r="V130" s="128" t="e">
        <f>客服部最终提成计算表!$X132*0.15*0.8*0.85*'18年合同登记表'!AB171/'18年合同登记表'!$M171</f>
        <v>#REF!</v>
      </c>
      <c r="W130" s="128" t="e">
        <f>客服部最终提成计算表!$X132*0.15*0.8*0.08*'18年合同登记表'!AB171/'18年合同登记表'!$M171</f>
        <v>#REF!</v>
      </c>
      <c r="X130" s="128" t="e">
        <f>客服部最终提成计算表!$X132*0.15*0.8*0.05*'18年合同登记表'!AB171/'18年合同登记表'!$M171</f>
        <v>#REF!</v>
      </c>
      <c r="Y130" s="128" t="e">
        <f>客服部最终提成计算表!$X132*0.15*0.8*0.02*'18年合同登记表'!AB171/'18年合同登记表'!$M171</f>
        <v>#REF!</v>
      </c>
      <c r="Z130" s="128" t="e">
        <f>客服部最终提成计算表!$X132*0.15*0.8*0.85*'18年合同登记表'!AD171/'18年合同登记表'!$M171</f>
        <v>#REF!</v>
      </c>
      <c r="AA130" s="128" t="e">
        <f>客服部最终提成计算表!$X132*0.15*0.8*0.08*'18年合同登记表'!AD171/'18年合同登记表'!$M171</f>
        <v>#REF!</v>
      </c>
      <c r="AB130" s="128" t="e">
        <f>客服部最终提成计算表!$X132*0.15*0.8*0.05*'18年合同登记表'!AD171/'18年合同登记表'!$M171</f>
        <v>#REF!</v>
      </c>
      <c r="AC130" s="128" t="e">
        <f>客服部最终提成计算表!$X132*0.15*0.8*0.02*'18年合同登记表'!AD171/'18年合同登记表'!$M171</f>
        <v>#REF!</v>
      </c>
      <c r="AD130" s="128" t="e">
        <f>客服部最终提成计算表!$X132*0.15*0.8*0.85*'18年合同登记表'!AF171/'18年合同登记表'!$M171</f>
        <v>#REF!</v>
      </c>
      <c r="AE130" s="128" t="e">
        <f>客服部最终提成计算表!$X132*0.15*0.8*0.08*'18年合同登记表'!AF171/'18年合同登记表'!$M171</f>
        <v>#REF!</v>
      </c>
      <c r="AF130" s="128" t="e">
        <f>客服部最终提成计算表!$X132*0.15*0.8*0.05*'18年合同登记表'!AF171/'18年合同登记表'!$M171</f>
        <v>#REF!</v>
      </c>
      <c r="AG130" s="128" t="e">
        <f>客服部最终提成计算表!$X132*0.15*0.8*0.02*'18年合同登记表'!AF171/'18年合同登记表'!$M171</f>
        <v>#REF!</v>
      </c>
      <c r="AH130" s="128" t="e">
        <f>客服部最终提成计算表!$X132*0.15*0.8*0.85*'18年合同登记表'!AH171/'18年合同登记表'!$M171</f>
        <v>#REF!</v>
      </c>
      <c r="AI130" s="128" t="e">
        <f>客服部最终提成计算表!$X132*0.15*0.8*0.08*'18年合同登记表'!AH171/'18年合同登记表'!$M171</f>
        <v>#REF!</v>
      </c>
      <c r="AJ130" s="128" t="e">
        <f>客服部最终提成计算表!$X132*0.15*0.8*0.05*'18年合同登记表'!AH171/'18年合同登记表'!$M171</f>
        <v>#REF!</v>
      </c>
      <c r="AK130" s="128" t="e">
        <f>客服部最终提成计算表!$X132*0.15*0.8*0.02*'18年合同登记表'!AH171/'18年合同登记表'!$M171</f>
        <v>#REF!</v>
      </c>
      <c r="AL130" s="128" t="e">
        <f>客服部最终提成计算表!$X132*0.15*0.8*0.85*'18年合同登记表'!AJ171/'18年合同登记表'!$M171</f>
        <v>#REF!</v>
      </c>
      <c r="AM130" s="128" t="e">
        <f>客服部最终提成计算表!$X132*0.15*0.8*0.08*'18年合同登记表'!AJ171/'18年合同登记表'!$M171</f>
        <v>#REF!</v>
      </c>
      <c r="AN130" s="128" t="e">
        <f>客服部最终提成计算表!$X132*0.15*0.8*0.05*'18年合同登记表'!AJ171/'18年合同登记表'!$M171</f>
        <v>#REF!</v>
      </c>
      <c r="AO130" s="128" t="e">
        <f>客服部最终提成计算表!$X132*0.15*0.8*0.02*'18年合同登记表'!AJ171/'18年合同登记表'!$M171</f>
        <v>#REF!</v>
      </c>
      <c r="AP130" s="128" t="e">
        <f>客服部最终提成计算表!$X132*0.15*0.8*0.85*'18年合同登记表'!AL171/'18年合同登记表'!$M171</f>
        <v>#REF!</v>
      </c>
      <c r="AQ130" s="128" t="e">
        <f>客服部最终提成计算表!$X132*0.15*0.8*0.08*'18年合同登记表'!AL171/'18年合同登记表'!$M171</f>
        <v>#REF!</v>
      </c>
      <c r="AR130" s="128" t="e">
        <f>客服部最终提成计算表!$X132*0.15*0.8*0.05*'18年合同登记表'!AL171/'18年合同登记表'!$M171</f>
        <v>#REF!</v>
      </c>
      <c r="AS130" s="128" t="e">
        <f>客服部最终提成计算表!$X132*0.15*0.8*0.02*'18年合同登记表'!AL171/'18年合同登记表'!$M171</f>
        <v>#REF!</v>
      </c>
      <c r="AT130" s="128" t="e">
        <f>客服部最终提成计算表!$X132*0.15*0.8*0.85*'18年合同登记表'!AN171/'18年合同登记表'!$M171</f>
        <v>#REF!</v>
      </c>
      <c r="AU130" s="128" t="e">
        <f>客服部最终提成计算表!$X132*0.15*0.8*0.08*'18年合同登记表'!AN171/'18年合同登记表'!$M171</f>
        <v>#REF!</v>
      </c>
      <c r="AV130" s="128" t="e">
        <f>客服部最终提成计算表!$X132*0.15*0.8*0.05*'18年合同登记表'!AN171/'18年合同登记表'!$M171</f>
        <v>#REF!</v>
      </c>
      <c r="AW130" s="128" t="e">
        <f>客服部最终提成计算表!$X132*0.15*0.8*0.02*'18年合同登记表'!AN171/'18年合同登记表'!$M171</f>
        <v>#REF!</v>
      </c>
      <c r="AX130" s="128" t="e">
        <f>客服部最终提成计算表!$X132*0.15*0.8*0.85*'18年合同登记表'!AP171/'18年合同登记表'!$M171</f>
        <v>#REF!</v>
      </c>
      <c r="AY130" s="128" t="e">
        <f>客服部最终提成计算表!$X132*0.15*0.8*0.08*'18年合同登记表'!AP171/'18年合同登记表'!$M171</f>
        <v>#REF!</v>
      </c>
      <c r="AZ130" s="128" t="e">
        <f>客服部最终提成计算表!$X132*0.15*0.8*0.05*'18年合同登记表'!AP171/'18年合同登记表'!$M171</f>
        <v>#REF!</v>
      </c>
      <c r="BA130" s="132" t="e">
        <f>客服部最终提成计算表!$X132*0.15*0.8*0.02*'18年合同登记表'!AP171/'18年合同登记表'!$M171</f>
        <v>#REF!</v>
      </c>
    </row>
    <row r="131" s="104" customFormat="1" ht="14.25" spans="1:53">
      <c r="A131" s="123" t="s">
        <v>993</v>
      </c>
      <c r="B131" s="124">
        <f>'18年合同登记表'!F172</f>
        <v>0</v>
      </c>
      <c r="C131" s="125">
        <f>'18年合同登记表'!H172</f>
        <v>0</v>
      </c>
      <c r="D131" s="125">
        <f>'18年合同登记表'!I172</f>
        <v>0</v>
      </c>
      <c r="E131" s="126">
        <f>'18年合同登记表'!L172</f>
        <v>0</v>
      </c>
      <c r="F131" s="127" t="e">
        <f>F121+F130</f>
        <v>#REF!</v>
      </c>
      <c r="G131" s="127" t="e">
        <f t="shared" ref="G131" si="378">G121+G130</f>
        <v>#REF!</v>
      </c>
      <c r="H131" s="127" t="e">
        <f t="shared" ref="H131" si="379">H121+H130</f>
        <v>#REF!</v>
      </c>
      <c r="I131" s="127" t="e">
        <f t="shared" ref="I131" si="380">I121+I130</f>
        <v>#REF!</v>
      </c>
      <c r="J131" s="127" t="e">
        <f t="shared" ref="J131" si="381">J121+J130</f>
        <v>#REF!</v>
      </c>
      <c r="K131" s="127" t="e">
        <f t="shared" ref="K131" si="382">K121+K130</f>
        <v>#REF!</v>
      </c>
      <c r="L131" s="127" t="e">
        <f t="shared" ref="L131" si="383">L121+L130</f>
        <v>#REF!</v>
      </c>
      <c r="M131" s="127" t="e">
        <f t="shared" ref="M131" si="384">M121+M130</f>
        <v>#REF!</v>
      </c>
      <c r="N131" s="127" t="e">
        <f t="shared" ref="N131" si="385">N121+N130</f>
        <v>#REF!</v>
      </c>
      <c r="O131" s="127" t="e">
        <f t="shared" ref="O131" si="386">O121+O130</f>
        <v>#REF!</v>
      </c>
      <c r="P131" s="127" t="e">
        <f t="shared" ref="P131" si="387">P121+P130</f>
        <v>#REF!</v>
      </c>
      <c r="Q131" s="127" t="e">
        <f t="shared" ref="Q131" si="388">Q121+Q130</f>
        <v>#REF!</v>
      </c>
      <c r="R131" s="127" t="e">
        <f t="shared" ref="R131" si="389">R121+R130</f>
        <v>#REF!</v>
      </c>
      <c r="S131" s="127" t="e">
        <f t="shared" ref="S131" si="390">S121+S130</f>
        <v>#REF!</v>
      </c>
      <c r="T131" s="127" t="e">
        <f t="shared" ref="T131" si="391">T121+T130</f>
        <v>#REF!</v>
      </c>
      <c r="U131" s="127" t="e">
        <f t="shared" ref="U131" si="392">U121+U130</f>
        <v>#REF!</v>
      </c>
      <c r="V131" s="127" t="e">
        <f t="shared" ref="V131" si="393">V121+V130</f>
        <v>#REF!</v>
      </c>
      <c r="W131" s="127" t="e">
        <f t="shared" ref="W131" si="394">W121+W130</f>
        <v>#REF!</v>
      </c>
      <c r="X131" s="127" t="e">
        <f t="shared" ref="X131" si="395">X121+X130</f>
        <v>#REF!</v>
      </c>
      <c r="Y131" s="127" t="e">
        <f t="shared" ref="Y131" si="396">Y121+Y130</f>
        <v>#REF!</v>
      </c>
      <c r="Z131" s="127" t="e">
        <f t="shared" ref="Z131" si="397">Z121+Z130</f>
        <v>#REF!</v>
      </c>
      <c r="AA131" s="127" t="e">
        <f t="shared" ref="AA131" si="398">AA121+AA130</f>
        <v>#REF!</v>
      </c>
      <c r="AB131" s="127" t="e">
        <f t="shared" ref="AB131" si="399">AB121+AB130</f>
        <v>#REF!</v>
      </c>
      <c r="AC131" s="127" t="e">
        <f t="shared" ref="AC131" si="400">AC121+AC130</f>
        <v>#REF!</v>
      </c>
      <c r="AD131" s="127" t="e">
        <f t="shared" ref="AD131" si="401">AD121+AD130</f>
        <v>#REF!</v>
      </c>
      <c r="AE131" s="127" t="e">
        <f t="shared" ref="AE131" si="402">AE121+AE130</f>
        <v>#REF!</v>
      </c>
      <c r="AF131" s="127" t="e">
        <f t="shared" ref="AF131" si="403">AF121+AF130</f>
        <v>#REF!</v>
      </c>
      <c r="AG131" s="127" t="e">
        <f t="shared" ref="AG131" si="404">AG121+AG130</f>
        <v>#REF!</v>
      </c>
      <c r="AH131" s="127" t="e">
        <f t="shared" ref="AH131" si="405">AH121+AH130</f>
        <v>#REF!</v>
      </c>
      <c r="AI131" s="127" t="e">
        <f t="shared" ref="AI131" si="406">AI121+AI130</f>
        <v>#REF!</v>
      </c>
      <c r="AJ131" s="127" t="e">
        <f t="shared" ref="AJ131" si="407">AJ121+AJ130</f>
        <v>#REF!</v>
      </c>
      <c r="AK131" s="127" t="e">
        <f t="shared" ref="AK131" si="408">AK121+AK130</f>
        <v>#REF!</v>
      </c>
      <c r="AL131" s="127" t="e">
        <f t="shared" ref="AL131" si="409">AL121+AL130</f>
        <v>#REF!</v>
      </c>
      <c r="AM131" s="127" t="e">
        <f t="shared" ref="AM131" si="410">AM121+AM130</f>
        <v>#REF!</v>
      </c>
      <c r="AN131" s="127" t="e">
        <f t="shared" ref="AN131" si="411">AN121+AN130</f>
        <v>#REF!</v>
      </c>
      <c r="AO131" s="127" t="e">
        <f t="shared" ref="AO131" si="412">AO121+AO130</f>
        <v>#REF!</v>
      </c>
      <c r="AP131" s="127" t="e">
        <f t="shared" ref="AP131" si="413">AP121+AP130</f>
        <v>#REF!</v>
      </c>
      <c r="AQ131" s="127" t="e">
        <f t="shared" ref="AQ131" si="414">AQ121+AQ130</f>
        <v>#REF!</v>
      </c>
      <c r="AR131" s="127" t="e">
        <f t="shared" ref="AR131" si="415">AR121+AR130</f>
        <v>#REF!</v>
      </c>
      <c r="AS131" s="127" t="e">
        <f t="shared" ref="AS131" si="416">AS121+AS130</f>
        <v>#REF!</v>
      </c>
      <c r="AT131" s="127" t="e">
        <f t="shared" ref="AT131" si="417">AT121+AT130</f>
        <v>#REF!</v>
      </c>
      <c r="AU131" s="127" t="e">
        <f t="shared" ref="AU131" si="418">AU121+AU130</f>
        <v>#REF!</v>
      </c>
      <c r="AV131" s="127" t="e">
        <f t="shared" ref="AV131" si="419">AV121+AV130</f>
        <v>#REF!</v>
      </c>
      <c r="AW131" s="127" t="e">
        <f t="shared" ref="AW131" si="420">AW121+AW130</f>
        <v>#REF!</v>
      </c>
      <c r="AX131" s="127" t="e">
        <f t="shared" ref="AX131" si="421">AX121+AX130</f>
        <v>#REF!</v>
      </c>
      <c r="AY131" s="127" t="e">
        <f t="shared" ref="AY131" si="422">AY121+AY130</f>
        <v>#REF!</v>
      </c>
      <c r="AZ131" s="127" t="e">
        <f t="shared" ref="AZ131" si="423">AZ121+AZ130</f>
        <v>#REF!</v>
      </c>
      <c r="BA131" s="127" t="e">
        <f t="shared" ref="BA131" si="424">BA121+BA130</f>
        <v>#REF!</v>
      </c>
    </row>
    <row r="132" s="104" customFormat="1" ht="14.25" spans="1:53">
      <c r="A132" s="117"/>
      <c r="B132" s="118" t="str">
        <f>'18年合同登记表'!F173</f>
        <v>环普科技园</v>
      </c>
      <c r="C132" s="119" t="str">
        <f>'18年合同登记表'!H173</f>
        <v>NH-20180909-Q-01-01-006</v>
      </c>
      <c r="D132" s="119" t="str">
        <f>'18年合同登记表'!I173</f>
        <v>力浩2号楼中央空调维修保养</v>
      </c>
      <c r="E132" s="120" t="str">
        <f>'18年合同登记表'!L173</f>
        <v>卢志强</v>
      </c>
      <c r="F132" s="121">
        <f>客服部最终提成计算表!$X134*0.15*0.8*0.85*'18年合同登记表'!T173/'18年合同登记表'!$M173</f>
        <v>0</v>
      </c>
      <c r="G132" s="122">
        <f>客服部最终提成计算表!$X134*0.15*0.8*0.08*'18年合同登记表'!T173/'18年合同登记表'!$M173</f>
        <v>0</v>
      </c>
      <c r="H132" s="122">
        <f>客服部最终提成计算表!$X134*0.15*0.8*0.05*'18年合同登记表'!T173/'18年合同登记表'!$M173</f>
        <v>0</v>
      </c>
      <c r="I132" s="122">
        <f>客服部最终提成计算表!$X134*0.15*0.8*0.02*'18年合同登记表'!T173/'18年合同登记表'!$M173</f>
        <v>0</v>
      </c>
      <c r="J132" s="122">
        <f>客服部最终提成计算表!$X134*0.15*0.8*0.85*'18年合同登记表'!V173/'18年合同登记表'!$M173</f>
        <v>0</v>
      </c>
      <c r="K132" s="122">
        <f>客服部最终提成计算表!$X134*0.15*0.8*0.08*'18年合同登记表'!V173/'18年合同登记表'!$M173</f>
        <v>0</v>
      </c>
      <c r="L132" s="122">
        <f>客服部最终提成计算表!$X134*0.15*0.8*0.05*'18年合同登记表'!V173/'18年合同登记表'!$M173</f>
        <v>0</v>
      </c>
      <c r="M132" s="122">
        <f>客服部最终提成计算表!$X134*0.15*0.8*0.02*'18年合同登记表'!V173/'18年合同登记表'!$M173</f>
        <v>0</v>
      </c>
      <c r="N132" s="122">
        <f>客服部最终提成计算表!$X134*0.15*0.8*0.85*'18年合同登记表'!X173/'18年合同登记表'!$M173</f>
        <v>0</v>
      </c>
      <c r="O132" s="122">
        <f>客服部最终提成计算表!$X134*0.15*0.8*0.08*'18年合同登记表'!X173/'18年合同登记表'!$M173</f>
        <v>0</v>
      </c>
      <c r="P132" s="122">
        <f>客服部最终提成计算表!$X134*0.15*0.8*0.05*'18年合同登记表'!X173/'18年合同登记表'!$M173</f>
        <v>0</v>
      </c>
      <c r="Q132" s="122">
        <f>客服部最终提成计算表!$X134*0.15*0.8*0.02*'18年合同登记表'!X173/'18年合同登记表'!$M173</f>
        <v>0</v>
      </c>
      <c r="R132" s="122">
        <f>客服部最终提成计算表!$X134*0.15*0.8*0.85*'18年合同登记表'!Z173/'18年合同登记表'!$M173</f>
        <v>0</v>
      </c>
      <c r="S132" s="122">
        <f>客服部最终提成计算表!$X134*0.15*0.8*0.08*'18年合同登记表'!Z173/'18年合同登记表'!$M173</f>
        <v>0</v>
      </c>
      <c r="T132" s="122">
        <f>客服部最终提成计算表!$X134*0.15*0.8*0.05*'18年合同登记表'!Z173/'18年合同登记表'!$M173</f>
        <v>0</v>
      </c>
      <c r="U132" s="122">
        <f>客服部最终提成计算表!$X134*0.15*0.8*0.02*'18年合同登记表'!Z173/'18年合同登记表'!$M173</f>
        <v>0</v>
      </c>
      <c r="V132" s="122">
        <f>客服部最终提成计算表!$X134*0.15*0.8*0.85*'18年合同登记表'!AB173/'18年合同登记表'!$M173</f>
        <v>0</v>
      </c>
      <c r="W132" s="122">
        <f>客服部最终提成计算表!$X134*0.15*0.8*0.08*'18年合同登记表'!AB173/'18年合同登记表'!$M173</f>
        <v>0</v>
      </c>
      <c r="X132" s="122">
        <f>客服部最终提成计算表!$X134*0.15*0.8*0.05*'18年合同登记表'!AB173/'18年合同登记表'!$M173</f>
        <v>0</v>
      </c>
      <c r="Y132" s="122">
        <f>客服部最终提成计算表!$X134*0.15*0.8*0.02*'18年合同登记表'!AB173/'18年合同登记表'!$M173</f>
        <v>0</v>
      </c>
      <c r="Z132" s="122">
        <f>客服部最终提成计算表!$X134*0.15*0.8*0.85*'18年合同登记表'!AD173/'18年合同登记表'!$M173</f>
        <v>0</v>
      </c>
      <c r="AA132" s="122">
        <f>客服部最终提成计算表!$X134*0.15*0.8*0.08*'18年合同登记表'!AD173/'18年合同登记表'!$M173</f>
        <v>0</v>
      </c>
      <c r="AB132" s="122">
        <f>客服部最终提成计算表!$X134*0.15*0.8*0.05*'18年合同登记表'!AD173/'18年合同登记表'!$M173</f>
        <v>0</v>
      </c>
      <c r="AC132" s="122">
        <f>客服部最终提成计算表!$X134*0.15*0.8*0.02*'18年合同登记表'!AD173/'18年合同登记表'!$M173</f>
        <v>0</v>
      </c>
      <c r="AD132" s="122">
        <f>客服部最终提成计算表!$X134*0.15*0.8*0.85*'18年合同登记表'!AF173/'18年合同登记表'!$M173</f>
        <v>0</v>
      </c>
      <c r="AE132" s="122">
        <f>客服部最终提成计算表!$X134*0.15*0.8*0.08*'18年合同登记表'!AF173/'18年合同登记表'!$M173</f>
        <v>0</v>
      </c>
      <c r="AF132" s="122">
        <f>客服部最终提成计算表!$X134*0.15*0.8*0.05*'18年合同登记表'!AF173/'18年合同登记表'!$M173</f>
        <v>0</v>
      </c>
      <c r="AG132" s="122">
        <f>客服部最终提成计算表!$X134*0.15*0.8*0.02*'18年合同登记表'!AF173/'18年合同登记表'!$M173</f>
        <v>0</v>
      </c>
      <c r="AH132" s="122">
        <f>客服部最终提成计算表!$X134*0.15*0.8*0.85*'18年合同登记表'!AH173/'18年合同登记表'!$M173</f>
        <v>0</v>
      </c>
      <c r="AI132" s="122">
        <f>客服部最终提成计算表!$X134*0.15*0.8*0.08*'18年合同登记表'!AH173/'18年合同登记表'!$M173</f>
        <v>0</v>
      </c>
      <c r="AJ132" s="122">
        <f>客服部最终提成计算表!$X134*0.15*0.8*0.05*'18年合同登记表'!AH173/'18年合同登记表'!$M173</f>
        <v>0</v>
      </c>
      <c r="AK132" s="122">
        <f>客服部最终提成计算表!$X134*0.15*0.8*0.02*'18年合同登记表'!AH173/'18年合同登记表'!$M173</f>
        <v>0</v>
      </c>
      <c r="AL132" s="122">
        <f>客服部最终提成计算表!$X134*0.15*0.8*0.85*'18年合同登记表'!AJ173/'18年合同登记表'!$M173</f>
        <v>0</v>
      </c>
      <c r="AM132" s="122">
        <f>客服部最终提成计算表!$X134*0.15*0.8*0.08*'18年合同登记表'!AJ173/'18年合同登记表'!$M173</f>
        <v>0</v>
      </c>
      <c r="AN132" s="122">
        <f>客服部最终提成计算表!$X134*0.15*0.8*0.05*'18年合同登记表'!AJ173/'18年合同登记表'!$M173</f>
        <v>0</v>
      </c>
      <c r="AO132" s="122">
        <f>客服部最终提成计算表!$X134*0.15*0.8*0.02*'18年合同登记表'!AJ173/'18年合同登记表'!$M173</f>
        <v>0</v>
      </c>
      <c r="AP132" s="122">
        <f>客服部最终提成计算表!$X134*0.15*0.8*0.85*'18年合同登记表'!AL173/'18年合同登记表'!$M173</f>
        <v>0</v>
      </c>
      <c r="AQ132" s="122">
        <f>客服部最终提成计算表!$X134*0.15*0.8*0.08*'18年合同登记表'!AL173/'18年合同登记表'!$M173</f>
        <v>0</v>
      </c>
      <c r="AR132" s="122">
        <f>客服部最终提成计算表!$X134*0.15*0.8*0.05*'18年合同登记表'!AL173/'18年合同登记表'!$M173</f>
        <v>0</v>
      </c>
      <c r="AS132" s="122">
        <f>客服部最终提成计算表!$X134*0.15*0.8*0.02*'18年合同登记表'!AL173/'18年合同登记表'!$M173</f>
        <v>0</v>
      </c>
      <c r="AT132" s="122">
        <f>客服部最终提成计算表!$X134*0.15*0.8*0.85*'18年合同登记表'!AN173/'18年合同登记表'!$M173</f>
        <v>0</v>
      </c>
      <c r="AU132" s="122">
        <f>客服部最终提成计算表!$X134*0.15*0.8*0.08*'18年合同登记表'!AN173/'18年合同登记表'!$M173</f>
        <v>0</v>
      </c>
      <c r="AV132" s="122">
        <f>客服部最终提成计算表!$X134*0.15*0.8*0.05*'18年合同登记表'!AN173/'18年合同登记表'!$M173</f>
        <v>0</v>
      </c>
      <c r="AW132" s="122">
        <f>客服部最终提成计算表!$X134*0.15*0.8*0.02*'18年合同登记表'!AN173/'18年合同登记表'!$M173</f>
        <v>0</v>
      </c>
      <c r="AX132" s="122">
        <f>客服部最终提成计算表!$X134*0.15*0.8*0.85*'18年合同登记表'!AP173/'18年合同登记表'!$M173</f>
        <v>0</v>
      </c>
      <c r="AY132" s="122">
        <f>客服部最终提成计算表!$X134*0.15*0.8*0.08*'18年合同登记表'!AP173/'18年合同登记表'!$M173</f>
        <v>0</v>
      </c>
      <c r="AZ132" s="122">
        <f>客服部最终提成计算表!$X134*0.15*0.8*0.05*'18年合同登记表'!AP173/'18年合同登记表'!$M173</f>
        <v>0</v>
      </c>
      <c r="BA132" s="131">
        <f>客服部最终提成计算表!$X134*0.15*0.8*0.02*'18年合同登记表'!AP173/'18年合同登记表'!$M173</f>
        <v>0</v>
      </c>
    </row>
    <row r="133" s="104" customFormat="1" ht="14.25" spans="1:53">
      <c r="A133" s="117"/>
      <c r="B133" s="118" t="str">
        <f>'18年合同登记表'!F174</f>
        <v>乐乎公寓</v>
      </c>
      <c r="C133" s="119" t="str">
        <f>'18年合同登记表'!H174</f>
        <v>NHY-20180531-W-01-01-030</v>
      </c>
      <c r="D133" s="119" t="str">
        <f>'18年合同登记表'!I174</f>
        <v>空调运行</v>
      </c>
      <c r="E133" s="120" t="str">
        <f>'18年合同登记表'!L174</f>
        <v>徐利斌</v>
      </c>
      <c r="F133" s="121">
        <f>客服部最终提成计算表!$X135*0.15*0.8*0.85*'18年合同登记表'!T174/'18年合同登记表'!$M174</f>
        <v>0</v>
      </c>
      <c r="G133" s="122">
        <f>客服部最终提成计算表!$X135*0.15*0.8*0.08*'18年合同登记表'!T174/'18年合同登记表'!$M174</f>
        <v>0</v>
      </c>
      <c r="H133" s="122">
        <f>客服部最终提成计算表!$X135*0.15*0.8*0.05*'18年合同登记表'!T174/'18年合同登记表'!$M174</f>
        <v>0</v>
      </c>
      <c r="I133" s="122">
        <f>客服部最终提成计算表!$X135*0.15*0.8*0.02*'18年合同登记表'!T174/'18年合同登记表'!$M174</f>
        <v>0</v>
      </c>
      <c r="J133" s="122">
        <f>客服部最终提成计算表!$X135*0.15*0.8*0.85*'18年合同登记表'!V174/'18年合同登记表'!$M174</f>
        <v>0</v>
      </c>
      <c r="K133" s="122">
        <f>客服部最终提成计算表!$X135*0.15*0.8*0.08*'18年合同登记表'!V174/'18年合同登记表'!$M174</f>
        <v>0</v>
      </c>
      <c r="L133" s="122">
        <f>客服部最终提成计算表!$X135*0.15*0.8*0.05*'18年合同登记表'!V174/'18年合同登记表'!$M174</f>
        <v>0</v>
      </c>
      <c r="M133" s="122">
        <f>客服部最终提成计算表!$X135*0.15*0.8*0.02*'18年合同登记表'!V174/'18年合同登记表'!$M174</f>
        <v>0</v>
      </c>
      <c r="N133" s="122">
        <f>客服部最终提成计算表!$X135*0.15*0.8*0.85*'18年合同登记表'!X174/'18年合同登记表'!$M174</f>
        <v>0</v>
      </c>
      <c r="O133" s="122">
        <f>客服部最终提成计算表!$X135*0.15*0.8*0.08*'18年合同登记表'!X174/'18年合同登记表'!$M174</f>
        <v>0</v>
      </c>
      <c r="P133" s="122">
        <f>客服部最终提成计算表!$X135*0.15*0.8*0.05*'18年合同登记表'!X174/'18年合同登记表'!$M174</f>
        <v>0</v>
      </c>
      <c r="Q133" s="122">
        <f>客服部最终提成计算表!$X135*0.15*0.8*0.02*'18年合同登记表'!X174/'18年合同登记表'!$M174</f>
        <v>0</v>
      </c>
      <c r="R133" s="122">
        <f>客服部最终提成计算表!$X135*0.15*0.8*0.85*'18年合同登记表'!Z174/'18年合同登记表'!$M174</f>
        <v>0</v>
      </c>
      <c r="S133" s="122">
        <f>客服部最终提成计算表!$X135*0.15*0.8*0.08*'18年合同登记表'!Z174/'18年合同登记表'!$M174</f>
        <v>0</v>
      </c>
      <c r="T133" s="122">
        <f>客服部最终提成计算表!$X135*0.15*0.8*0.05*'18年合同登记表'!Z174/'18年合同登记表'!$M174</f>
        <v>0</v>
      </c>
      <c r="U133" s="122">
        <f>客服部最终提成计算表!$X135*0.15*0.8*0.02*'18年合同登记表'!Z174/'18年合同登记表'!$M174</f>
        <v>0</v>
      </c>
      <c r="V133" s="122">
        <f>客服部最终提成计算表!$X135*0.15*0.8*0.85*'18年合同登记表'!AB174/'18年合同登记表'!$M174</f>
        <v>0</v>
      </c>
      <c r="W133" s="122">
        <f>客服部最终提成计算表!$X135*0.15*0.8*0.08*'18年合同登记表'!AB174/'18年合同登记表'!$M174</f>
        <v>0</v>
      </c>
      <c r="X133" s="122">
        <f>客服部最终提成计算表!$X135*0.15*0.8*0.05*'18年合同登记表'!AB174/'18年合同登记表'!$M174</f>
        <v>0</v>
      </c>
      <c r="Y133" s="122">
        <f>客服部最终提成计算表!$X135*0.15*0.8*0.02*'18年合同登记表'!AB174/'18年合同登记表'!$M174</f>
        <v>0</v>
      </c>
      <c r="Z133" s="122">
        <f>客服部最终提成计算表!$X135*0.15*0.8*0.85*'18年合同登记表'!AD174/'18年合同登记表'!$M174</f>
        <v>0</v>
      </c>
      <c r="AA133" s="122">
        <f>客服部最终提成计算表!$X135*0.15*0.8*0.08*'18年合同登记表'!AD174/'18年合同登记表'!$M174</f>
        <v>0</v>
      </c>
      <c r="AB133" s="122">
        <f>客服部最终提成计算表!$X135*0.15*0.8*0.05*'18年合同登记表'!AD174/'18年合同登记表'!$M174</f>
        <v>0</v>
      </c>
      <c r="AC133" s="122">
        <f>客服部最终提成计算表!$X135*0.15*0.8*0.02*'18年合同登记表'!AD174/'18年合同登记表'!$M174</f>
        <v>0</v>
      </c>
      <c r="AD133" s="122">
        <f>客服部最终提成计算表!$X135*0.15*0.8*0.85*'18年合同登记表'!AF174/'18年合同登记表'!$M174</f>
        <v>0</v>
      </c>
      <c r="AE133" s="122">
        <f>客服部最终提成计算表!$X135*0.15*0.8*0.08*'18年合同登记表'!AF174/'18年合同登记表'!$M174</f>
        <v>0</v>
      </c>
      <c r="AF133" s="122">
        <f>客服部最终提成计算表!$X135*0.15*0.8*0.05*'18年合同登记表'!AF174/'18年合同登记表'!$M174</f>
        <v>0</v>
      </c>
      <c r="AG133" s="122">
        <f>客服部最终提成计算表!$X135*0.15*0.8*0.02*'18年合同登记表'!AF174/'18年合同登记表'!$M174</f>
        <v>0</v>
      </c>
      <c r="AH133" s="122">
        <f>客服部最终提成计算表!$X135*0.15*0.8*0.85*'18年合同登记表'!AH174/'18年合同登记表'!$M174</f>
        <v>0</v>
      </c>
      <c r="AI133" s="122">
        <f>客服部最终提成计算表!$X135*0.15*0.8*0.08*'18年合同登记表'!AH174/'18年合同登记表'!$M174</f>
        <v>0</v>
      </c>
      <c r="AJ133" s="122">
        <f>客服部最终提成计算表!$X135*0.15*0.8*0.05*'18年合同登记表'!AH174/'18年合同登记表'!$M174</f>
        <v>0</v>
      </c>
      <c r="AK133" s="122">
        <f>客服部最终提成计算表!$X135*0.15*0.8*0.02*'18年合同登记表'!AH174/'18年合同登记表'!$M174</f>
        <v>0</v>
      </c>
      <c r="AL133" s="122">
        <f>客服部最终提成计算表!$X135*0.15*0.8*0.85*'18年合同登记表'!AJ174/'18年合同登记表'!$M174</f>
        <v>0</v>
      </c>
      <c r="AM133" s="122">
        <f>客服部最终提成计算表!$X135*0.15*0.8*0.08*'18年合同登记表'!AJ174/'18年合同登记表'!$M174</f>
        <v>0</v>
      </c>
      <c r="AN133" s="122">
        <f>客服部最终提成计算表!$X135*0.15*0.8*0.05*'18年合同登记表'!AJ174/'18年合同登记表'!$M174</f>
        <v>0</v>
      </c>
      <c r="AO133" s="122">
        <f>客服部最终提成计算表!$X135*0.15*0.8*0.02*'18年合同登记表'!AJ174/'18年合同登记表'!$M174</f>
        <v>0</v>
      </c>
      <c r="AP133" s="122">
        <f>客服部最终提成计算表!$X135*0.15*0.8*0.85*'18年合同登记表'!AL174/'18年合同登记表'!$M174</f>
        <v>0</v>
      </c>
      <c r="AQ133" s="122">
        <f>客服部最终提成计算表!$X135*0.15*0.8*0.08*'18年合同登记表'!AL174/'18年合同登记表'!$M174</f>
        <v>0</v>
      </c>
      <c r="AR133" s="122">
        <f>客服部最终提成计算表!$X135*0.15*0.8*0.05*'18年合同登记表'!AL174/'18年合同登记表'!$M174</f>
        <v>0</v>
      </c>
      <c r="AS133" s="122">
        <f>客服部最终提成计算表!$X135*0.15*0.8*0.02*'18年合同登记表'!AL174/'18年合同登记表'!$M174</f>
        <v>0</v>
      </c>
      <c r="AT133" s="122">
        <f>客服部最终提成计算表!$X135*0.15*0.8*0.85*'18年合同登记表'!AN174/'18年合同登记表'!$M174</f>
        <v>0</v>
      </c>
      <c r="AU133" s="122">
        <f>客服部最终提成计算表!$X135*0.15*0.8*0.08*'18年合同登记表'!AN174/'18年合同登记表'!$M174</f>
        <v>0</v>
      </c>
      <c r="AV133" s="122">
        <f>客服部最终提成计算表!$X135*0.15*0.8*0.05*'18年合同登记表'!AN174/'18年合同登记表'!$M174</f>
        <v>0</v>
      </c>
      <c r="AW133" s="122">
        <f>客服部最终提成计算表!$X135*0.15*0.8*0.02*'18年合同登记表'!AN174/'18年合同登记表'!$M174</f>
        <v>0</v>
      </c>
      <c r="AX133" s="122">
        <f>客服部最终提成计算表!$X135*0.15*0.8*0.85*'18年合同登记表'!AP174/'18年合同登记表'!$M174</f>
        <v>0</v>
      </c>
      <c r="AY133" s="122">
        <f>客服部最终提成计算表!$X135*0.15*0.8*0.08*'18年合同登记表'!AP174/'18年合同登记表'!$M174</f>
        <v>0</v>
      </c>
      <c r="AZ133" s="122">
        <f>客服部最终提成计算表!$X135*0.15*0.8*0.05*'18年合同登记表'!AP174/'18年合同登记表'!$M174</f>
        <v>0</v>
      </c>
      <c r="BA133" s="131">
        <f>客服部最终提成计算表!$X135*0.15*0.8*0.02*'18年合同登记表'!AP174/'18年合同登记表'!$M174</f>
        <v>0</v>
      </c>
    </row>
    <row r="134" s="104" customFormat="1" ht="14.25" spans="1:53">
      <c r="A134" s="117"/>
      <c r="B134" s="118" t="str">
        <f>'18年合同登记表'!F175</f>
        <v>新农创/熊猫公寓</v>
      </c>
      <c r="C134" s="119">
        <f>'18年合同登记表'!H175</f>
        <v>0</v>
      </c>
      <c r="D134" s="119" t="str">
        <f>'18年合同登记表'!I175</f>
        <v>空调运行合同</v>
      </c>
      <c r="E134" s="120" t="str">
        <f>'18年合同登记表'!L175</f>
        <v>徐利斌</v>
      </c>
      <c r="F134" s="121">
        <f>客服部最终提成计算表!$X136*0.15*0.8*0.85*'18年合同登记表'!T175/'18年合同登记表'!$M175</f>
        <v>0</v>
      </c>
      <c r="G134" s="122">
        <f>客服部最终提成计算表!$X136*0.15*0.8*0.08*'18年合同登记表'!T175/'18年合同登记表'!$M175</f>
        <v>0</v>
      </c>
      <c r="H134" s="122">
        <f>客服部最终提成计算表!$X136*0.15*0.8*0.05*'18年合同登记表'!T175/'18年合同登记表'!$M175</f>
        <v>0</v>
      </c>
      <c r="I134" s="122">
        <f>客服部最终提成计算表!$X136*0.15*0.8*0.02*'18年合同登记表'!T175/'18年合同登记表'!$M175</f>
        <v>0</v>
      </c>
      <c r="J134" s="122">
        <f>客服部最终提成计算表!$X136*0.15*0.8*0.85*'18年合同登记表'!V175/'18年合同登记表'!$M175</f>
        <v>0</v>
      </c>
      <c r="K134" s="122">
        <f>客服部最终提成计算表!$X136*0.15*0.8*0.08*'18年合同登记表'!V175/'18年合同登记表'!$M175</f>
        <v>0</v>
      </c>
      <c r="L134" s="122">
        <f>客服部最终提成计算表!$X136*0.15*0.8*0.05*'18年合同登记表'!V175/'18年合同登记表'!$M175</f>
        <v>0</v>
      </c>
      <c r="M134" s="122">
        <f>客服部最终提成计算表!$X136*0.15*0.8*0.02*'18年合同登记表'!V175/'18年合同登记表'!$M175</f>
        <v>0</v>
      </c>
      <c r="N134" s="122">
        <f>客服部最终提成计算表!$X136*0.15*0.8*0.85*'18年合同登记表'!X175/'18年合同登记表'!$M175</f>
        <v>0</v>
      </c>
      <c r="O134" s="122">
        <f>客服部最终提成计算表!$X136*0.15*0.8*0.08*'18年合同登记表'!X175/'18年合同登记表'!$M175</f>
        <v>0</v>
      </c>
      <c r="P134" s="122">
        <f>客服部最终提成计算表!$X136*0.15*0.8*0.05*'18年合同登记表'!X175/'18年合同登记表'!$M175</f>
        <v>0</v>
      </c>
      <c r="Q134" s="122">
        <f>客服部最终提成计算表!$X136*0.15*0.8*0.02*'18年合同登记表'!X175/'18年合同登记表'!$M175</f>
        <v>0</v>
      </c>
      <c r="R134" s="122">
        <f>客服部最终提成计算表!$X136*0.15*0.8*0.85*'18年合同登记表'!Z175/'18年合同登记表'!$M175</f>
        <v>0</v>
      </c>
      <c r="S134" s="122">
        <f>客服部最终提成计算表!$X136*0.15*0.8*0.08*'18年合同登记表'!Z175/'18年合同登记表'!$M175</f>
        <v>0</v>
      </c>
      <c r="T134" s="122">
        <f>客服部最终提成计算表!$X136*0.15*0.8*0.05*'18年合同登记表'!Z175/'18年合同登记表'!$M175</f>
        <v>0</v>
      </c>
      <c r="U134" s="122">
        <f>客服部最终提成计算表!$X136*0.15*0.8*0.02*'18年合同登记表'!Z175/'18年合同登记表'!$M175</f>
        <v>0</v>
      </c>
      <c r="V134" s="122">
        <f>客服部最终提成计算表!$X136*0.15*0.8*0.85*'18年合同登记表'!AB175/'18年合同登记表'!$M175</f>
        <v>0</v>
      </c>
      <c r="W134" s="122">
        <f>客服部最终提成计算表!$X136*0.15*0.8*0.08*'18年合同登记表'!AB175/'18年合同登记表'!$M175</f>
        <v>0</v>
      </c>
      <c r="X134" s="122">
        <f>客服部最终提成计算表!$X136*0.15*0.8*0.05*'18年合同登记表'!AB175/'18年合同登记表'!$M175</f>
        <v>0</v>
      </c>
      <c r="Y134" s="122">
        <f>客服部最终提成计算表!$X136*0.15*0.8*0.02*'18年合同登记表'!AB175/'18年合同登记表'!$M175</f>
        <v>0</v>
      </c>
      <c r="Z134" s="122">
        <f>客服部最终提成计算表!$X136*0.15*0.8*0.85*'18年合同登记表'!AD175/'18年合同登记表'!$M175</f>
        <v>0</v>
      </c>
      <c r="AA134" s="122">
        <f>客服部最终提成计算表!$X136*0.15*0.8*0.08*'18年合同登记表'!AD175/'18年合同登记表'!$M175</f>
        <v>0</v>
      </c>
      <c r="AB134" s="122">
        <f>客服部最终提成计算表!$X136*0.15*0.8*0.05*'18年合同登记表'!AD175/'18年合同登记表'!$M175</f>
        <v>0</v>
      </c>
      <c r="AC134" s="122">
        <f>客服部最终提成计算表!$X136*0.15*0.8*0.02*'18年合同登记表'!AD175/'18年合同登记表'!$M175</f>
        <v>0</v>
      </c>
      <c r="AD134" s="122">
        <f>客服部最终提成计算表!$X136*0.15*0.8*0.85*'18年合同登记表'!AF175/'18年合同登记表'!$M175</f>
        <v>0</v>
      </c>
      <c r="AE134" s="122">
        <f>客服部最终提成计算表!$X136*0.15*0.8*0.08*'18年合同登记表'!AF175/'18年合同登记表'!$M175</f>
        <v>0</v>
      </c>
      <c r="AF134" s="122">
        <f>客服部最终提成计算表!$X136*0.15*0.8*0.05*'18年合同登记表'!AF175/'18年合同登记表'!$M175</f>
        <v>0</v>
      </c>
      <c r="AG134" s="122">
        <f>客服部最终提成计算表!$X136*0.15*0.8*0.02*'18年合同登记表'!AF175/'18年合同登记表'!$M175</f>
        <v>0</v>
      </c>
      <c r="AH134" s="122">
        <f>客服部最终提成计算表!$X136*0.15*0.8*0.85*'18年合同登记表'!AH175/'18年合同登记表'!$M175</f>
        <v>0</v>
      </c>
      <c r="AI134" s="122">
        <f>客服部最终提成计算表!$X136*0.15*0.8*0.08*'18年合同登记表'!AH175/'18年合同登记表'!$M175</f>
        <v>0</v>
      </c>
      <c r="AJ134" s="122">
        <f>客服部最终提成计算表!$X136*0.15*0.8*0.05*'18年合同登记表'!AH175/'18年合同登记表'!$M175</f>
        <v>0</v>
      </c>
      <c r="AK134" s="122">
        <f>客服部最终提成计算表!$X136*0.15*0.8*0.02*'18年合同登记表'!AH175/'18年合同登记表'!$M175</f>
        <v>0</v>
      </c>
      <c r="AL134" s="122">
        <f>客服部最终提成计算表!$X136*0.15*0.8*0.85*'18年合同登记表'!AJ175/'18年合同登记表'!$M175</f>
        <v>0</v>
      </c>
      <c r="AM134" s="122">
        <f>客服部最终提成计算表!$X136*0.15*0.8*0.08*'18年合同登记表'!AJ175/'18年合同登记表'!$M175</f>
        <v>0</v>
      </c>
      <c r="AN134" s="122">
        <f>客服部最终提成计算表!$X136*0.15*0.8*0.05*'18年合同登记表'!AJ175/'18年合同登记表'!$M175</f>
        <v>0</v>
      </c>
      <c r="AO134" s="122">
        <f>客服部最终提成计算表!$X136*0.15*0.8*0.02*'18年合同登记表'!AJ175/'18年合同登记表'!$M175</f>
        <v>0</v>
      </c>
      <c r="AP134" s="122">
        <f>客服部最终提成计算表!$X136*0.15*0.8*0.85*'18年合同登记表'!AL175/'18年合同登记表'!$M175</f>
        <v>0</v>
      </c>
      <c r="AQ134" s="122">
        <f>客服部最终提成计算表!$X136*0.15*0.8*0.08*'18年合同登记表'!AL175/'18年合同登记表'!$M175</f>
        <v>0</v>
      </c>
      <c r="AR134" s="122">
        <f>客服部最终提成计算表!$X136*0.15*0.8*0.05*'18年合同登记表'!AL175/'18年合同登记表'!$M175</f>
        <v>0</v>
      </c>
      <c r="AS134" s="122">
        <f>客服部最终提成计算表!$X136*0.15*0.8*0.02*'18年合同登记表'!AL175/'18年合同登记表'!$M175</f>
        <v>0</v>
      </c>
      <c r="AT134" s="122">
        <f>客服部最终提成计算表!$X136*0.15*0.8*0.85*'18年合同登记表'!AN175/'18年合同登记表'!$M175</f>
        <v>0</v>
      </c>
      <c r="AU134" s="122">
        <f>客服部最终提成计算表!$X136*0.15*0.8*0.08*'18年合同登记表'!AN175/'18年合同登记表'!$M175</f>
        <v>0</v>
      </c>
      <c r="AV134" s="122">
        <f>客服部最终提成计算表!$X136*0.15*0.8*0.05*'18年合同登记表'!AN175/'18年合同登记表'!$M175</f>
        <v>0</v>
      </c>
      <c r="AW134" s="122">
        <f>客服部最终提成计算表!$X136*0.15*0.8*0.02*'18年合同登记表'!AN175/'18年合同登记表'!$M175</f>
        <v>0</v>
      </c>
      <c r="AX134" s="122">
        <f>客服部最终提成计算表!$X136*0.15*0.8*0.85*'18年合同登记表'!AP175/'18年合同登记表'!$M175</f>
        <v>0</v>
      </c>
      <c r="AY134" s="122">
        <f>客服部最终提成计算表!$X136*0.15*0.8*0.08*'18年合同登记表'!AP175/'18年合同登记表'!$M175</f>
        <v>0</v>
      </c>
      <c r="AZ134" s="122">
        <f>客服部最终提成计算表!$X136*0.15*0.8*0.05*'18年合同登记表'!AP175/'18年合同登记表'!$M175</f>
        <v>0</v>
      </c>
      <c r="BA134" s="131">
        <f>客服部最终提成计算表!$X136*0.15*0.8*0.02*'18年合同登记表'!AP175/'18年合同登记表'!$M175</f>
        <v>0</v>
      </c>
    </row>
    <row r="135" s="104" customFormat="1" ht="14.25" spans="1:53">
      <c r="A135" s="117"/>
      <c r="B135" s="118" t="str">
        <f>'18年合同登记表'!F176</f>
        <v>环境大厦</v>
      </c>
      <c r="C135" s="119" t="str">
        <f>'18年合同登记表'!H176</f>
        <v>NHY-20181214-L-01-01-049</v>
      </c>
      <c r="D135" s="119" t="str">
        <f>'18年合同登记表'!I176</f>
        <v>更换显示屏</v>
      </c>
      <c r="E135" s="120" t="str">
        <f>'18年合同登记表'!L176</f>
        <v>陈勇</v>
      </c>
      <c r="F135" s="121">
        <f>客服部最终提成计算表!$X137*0.15*0.8*0.85*'18年合同登记表'!T176/'18年合同登记表'!$M176</f>
        <v>0</v>
      </c>
      <c r="G135" s="122">
        <f>客服部最终提成计算表!$X137*0.15*0.8*0.08*'18年合同登记表'!T176/'18年合同登记表'!$M176</f>
        <v>0</v>
      </c>
      <c r="H135" s="122">
        <f>客服部最终提成计算表!$X137*0.15*0.8*0.05*'18年合同登记表'!T176/'18年合同登记表'!$M176</f>
        <v>0</v>
      </c>
      <c r="I135" s="122">
        <f>客服部最终提成计算表!$X137*0.15*0.8*0.02*'18年合同登记表'!T176/'18年合同登记表'!$M176</f>
        <v>0</v>
      </c>
      <c r="J135" s="122">
        <f>客服部最终提成计算表!$X137*0.15*0.8*0.85*'18年合同登记表'!V176/'18年合同登记表'!$M176</f>
        <v>0</v>
      </c>
      <c r="K135" s="122">
        <f>客服部最终提成计算表!$X137*0.15*0.8*0.08*'18年合同登记表'!V176/'18年合同登记表'!$M176</f>
        <v>0</v>
      </c>
      <c r="L135" s="122">
        <f>客服部最终提成计算表!$X137*0.15*0.8*0.05*'18年合同登记表'!V176/'18年合同登记表'!$M176</f>
        <v>0</v>
      </c>
      <c r="M135" s="122">
        <f>客服部最终提成计算表!$X137*0.15*0.8*0.02*'18年合同登记表'!V176/'18年合同登记表'!$M176</f>
        <v>0</v>
      </c>
      <c r="N135" s="122">
        <f>客服部最终提成计算表!$X137*0.15*0.8*0.85*'18年合同登记表'!X176/'18年合同登记表'!$M176</f>
        <v>0</v>
      </c>
      <c r="O135" s="122">
        <f>客服部最终提成计算表!$X137*0.15*0.8*0.08*'18年合同登记表'!X176/'18年合同登记表'!$M176</f>
        <v>0</v>
      </c>
      <c r="P135" s="122">
        <f>客服部最终提成计算表!$X137*0.15*0.8*0.05*'18年合同登记表'!X176/'18年合同登记表'!$M176</f>
        <v>0</v>
      </c>
      <c r="Q135" s="122">
        <f>客服部最终提成计算表!$X137*0.15*0.8*0.02*'18年合同登记表'!X176/'18年合同登记表'!$M176</f>
        <v>0</v>
      </c>
      <c r="R135" s="122">
        <f>客服部最终提成计算表!$X137*0.15*0.8*0.85*'18年合同登记表'!Z176/'18年合同登记表'!$M176</f>
        <v>0</v>
      </c>
      <c r="S135" s="122">
        <f>客服部最终提成计算表!$X137*0.15*0.8*0.08*'18年合同登记表'!Z176/'18年合同登记表'!$M176</f>
        <v>0</v>
      </c>
      <c r="T135" s="122">
        <f>客服部最终提成计算表!$X137*0.15*0.8*0.05*'18年合同登记表'!Z176/'18年合同登记表'!$M176</f>
        <v>0</v>
      </c>
      <c r="U135" s="122">
        <f>客服部最终提成计算表!$X137*0.15*0.8*0.02*'18年合同登记表'!Z176/'18年合同登记表'!$M176</f>
        <v>0</v>
      </c>
      <c r="V135" s="122">
        <f>客服部最终提成计算表!$X137*0.15*0.8*0.85*'18年合同登记表'!AB176/'18年合同登记表'!$M176</f>
        <v>0</v>
      </c>
      <c r="W135" s="122">
        <f>客服部最终提成计算表!$X137*0.15*0.8*0.08*'18年合同登记表'!AB176/'18年合同登记表'!$M176</f>
        <v>0</v>
      </c>
      <c r="X135" s="122">
        <f>客服部最终提成计算表!$X137*0.15*0.8*0.05*'18年合同登记表'!AB176/'18年合同登记表'!$M176</f>
        <v>0</v>
      </c>
      <c r="Y135" s="122">
        <f>客服部最终提成计算表!$X137*0.15*0.8*0.02*'18年合同登记表'!AB176/'18年合同登记表'!$M176</f>
        <v>0</v>
      </c>
      <c r="Z135" s="122">
        <f>客服部最终提成计算表!$X137*0.15*0.8*0.85*'18年合同登记表'!AD176/'18年合同登记表'!$M176</f>
        <v>0</v>
      </c>
      <c r="AA135" s="122">
        <f>客服部最终提成计算表!$X137*0.15*0.8*0.08*'18年合同登记表'!AD176/'18年合同登记表'!$M176</f>
        <v>0</v>
      </c>
      <c r="AB135" s="122">
        <f>客服部最终提成计算表!$X137*0.15*0.8*0.05*'18年合同登记表'!AD176/'18年合同登记表'!$M176</f>
        <v>0</v>
      </c>
      <c r="AC135" s="122">
        <f>客服部最终提成计算表!$X137*0.15*0.8*0.02*'18年合同登记表'!AD176/'18年合同登记表'!$M176</f>
        <v>0</v>
      </c>
      <c r="AD135" s="122">
        <f>客服部最终提成计算表!$X137*0.15*0.8*0.85*'18年合同登记表'!AF176/'18年合同登记表'!$M176</f>
        <v>0</v>
      </c>
      <c r="AE135" s="122">
        <f>客服部最终提成计算表!$X137*0.15*0.8*0.08*'18年合同登记表'!AF176/'18年合同登记表'!$M176</f>
        <v>0</v>
      </c>
      <c r="AF135" s="122">
        <f>客服部最终提成计算表!$X137*0.15*0.8*0.05*'18年合同登记表'!AF176/'18年合同登记表'!$M176</f>
        <v>0</v>
      </c>
      <c r="AG135" s="122">
        <f>客服部最终提成计算表!$X137*0.15*0.8*0.02*'18年合同登记表'!AF176/'18年合同登记表'!$M176</f>
        <v>0</v>
      </c>
      <c r="AH135" s="122">
        <f>客服部最终提成计算表!$X137*0.15*0.8*0.85*'18年合同登记表'!AH176/'18年合同登记表'!$M176</f>
        <v>0</v>
      </c>
      <c r="AI135" s="122">
        <f>客服部最终提成计算表!$X137*0.15*0.8*0.08*'18年合同登记表'!AH176/'18年合同登记表'!$M176</f>
        <v>0</v>
      </c>
      <c r="AJ135" s="122">
        <f>客服部最终提成计算表!$X137*0.15*0.8*0.05*'18年合同登记表'!AH176/'18年合同登记表'!$M176</f>
        <v>0</v>
      </c>
      <c r="AK135" s="122">
        <f>客服部最终提成计算表!$X137*0.15*0.8*0.02*'18年合同登记表'!AH176/'18年合同登记表'!$M176</f>
        <v>0</v>
      </c>
      <c r="AL135" s="122">
        <f>客服部最终提成计算表!$X137*0.15*0.8*0.85*'18年合同登记表'!AJ176/'18年合同登记表'!$M176</f>
        <v>0</v>
      </c>
      <c r="AM135" s="122">
        <f>客服部最终提成计算表!$X137*0.15*0.8*0.08*'18年合同登记表'!AJ176/'18年合同登记表'!$M176</f>
        <v>0</v>
      </c>
      <c r="AN135" s="122">
        <f>客服部最终提成计算表!$X137*0.15*0.8*0.05*'18年合同登记表'!AJ176/'18年合同登记表'!$M176</f>
        <v>0</v>
      </c>
      <c r="AO135" s="122">
        <f>客服部最终提成计算表!$X137*0.15*0.8*0.02*'18年合同登记表'!AJ176/'18年合同登记表'!$M176</f>
        <v>0</v>
      </c>
      <c r="AP135" s="122">
        <f>客服部最终提成计算表!$X137*0.15*0.8*0.85*'18年合同登记表'!AL176/'18年合同登记表'!$M176</f>
        <v>0</v>
      </c>
      <c r="AQ135" s="122">
        <f>客服部最终提成计算表!$X137*0.15*0.8*0.08*'18年合同登记表'!AL176/'18年合同登记表'!$M176</f>
        <v>0</v>
      </c>
      <c r="AR135" s="122">
        <f>客服部最终提成计算表!$X137*0.15*0.8*0.05*'18年合同登记表'!AL176/'18年合同登记表'!$M176</f>
        <v>0</v>
      </c>
      <c r="AS135" s="122">
        <f>客服部最终提成计算表!$X137*0.15*0.8*0.02*'18年合同登记表'!AL176/'18年合同登记表'!$M176</f>
        <v>0</v>
      </c>
      <c r="AT135" s="122">
        <f>客服部最终提成计算表!$X137*0.15*0.8*0.85*'18年合同登记表'!AN176/'18年合同登记表'!$M176</f>
        <v>0</v>
      </c>
      <c r="AU135" s="122">
        <f>客服部最终提成计算表!$X137*0.15*0.8*0.08*'18年合同登记表'!AN176/'18年合同登记表'!$M176</f>
        <v>0</v>
      </c>
      <c r="AV135" s="122">
        <f>客服部最终提成计算表!$X137*0.15*0.8*0.05*'18年合同登记表'!AN176/'18年合同登记表'!$M176</f>
        <v>0</v>
      </c>
      <c r="AW135" s="122">
        <f>客服部最终提成计算表!$X137*0.15*0.8*0.02*'18年合同登记表'!AN176/'18年合同登记表'!$M176</f>
        <v>0</v>
      </c>
      <c r="AX135" s="122">
        <f>客服部最终提成计算表!$X137*0.15*0.8*0.85*'18年合同登记表'!AP176/'18年合同登记表'!$M176</f>
        <v>1266.432</v>
      </c>
      <c r="AY135" s="122">
        <f>客服部最终提成计算表!$X137*0.15*0.8*0.08*'18年合同登记表'!AP176/'18年合同登记表'!$M176</f>
        <v>119.1936</v>
      </c>
      <c r="AZ135" s="122">
        <f>客服部最终提成计算表!$X137*0.15*0.8*0.05*'18年合同登记表'!AP176/'18年合同登记表'!$M176</f>
        <v>74.496</v>
      </c>
      <c r="BA135" s="131">
        <f>客服部最终提成计算表!$X137*0.15*0.8*0.02*'18年合同登记表'!AP176/'18年合同登记表'!$M176</f>
        <v>29.7984</v>
      </c>
    </row>
    <row r="136" s="104" customFormat="1" ht="14.25" spans="1:53">
      <c r="A136" s="117"/>
      <c r="B136" s="118" t="str">
        <f>'18年合同登记表'!F177</f>
        <v>国勤</v>
      </c>
      <c r="C136" s="119" t="str">
        <f>'18年合同登记表'!H177</f>
        <v>RH-20181204-L-01-01-03-030</v>
      </c>
      <c r="D136" s="119" t="str">
        <f>'18年合同登记表'!I177</f>
        <v>更换程控器</v>
      </c>
      <c r="E136" s="120" t="str">
        <f>'18年合同登记表'!L177</f>
        <v>陈勇</v>
      </c>
      <c r="F136" s="121">
        <f>客服部最终提成计算表!$X138*0.15*0.8*0.85*'18年合同登记表'!T177/'18年合同登记表'!$M177</f>
        <v>0</v>
      </c>
      <c r="G136" s="122">
        <f>客服部最终提成计算表!$X138*0.15*0.8*0.08*'18年合同登记表'!T177/'18年合同登记表'!$M177</f>
        <v>0</v>
      </c>
      <c r="H136" s="122">
        <f>客服部最终提成计算表!$X138*0.15*0.8*0.05*'18年合同登记表'!T177/'18年合同登记表'!$M177</f>
        <v>0</v>
      </c>
      <c r="I136" s="122">
        <f>客服部最终提成计算表!$X138*0.15*0.8*0.02*'18年合同登记表'!T177/'18年合同登记表'!$M177</f>
        <v>0</v>
      </c>
      <c r="J136" s="122">
        <f>客服部最终提成计算表!$X138*0.15*0.8*0.85*'18年合同登记表'!V177/'18年合同登记表'!$M177</f>
        <v>0</v>
      </c>
      <c r="K136" s="122">
        <f>客服部最终提成计算表!$X138*0.15*0.8*0.08*'18年合同登记表'!V177/'18年合同登记表'!$M177</f>
        <v>0</v>
      </c>
      <c r="L136" s="122">
        <f>客服部最终提成计算表!$X138*0.15*0.8*0.05*'18年合同登记表'!V177/'18年合同登记表'!$M177</f>
        <v>0</v>
      </c>
      <c r="M136" s="122">
        <f>客服部最终提成计算表!$X138*0.15*0.8*0.02*'18年合同登记表'!V177/'18年合同登记表'!$M177</f>
        <v>0</v>
      </c>
      <c r="N136" s="122">
        <f>客服部最终提成计算表!$X138*0.15*0.8*0.85*'18年合同登记表'!X177/'18年合同登记表'!$M177</f>
        <v>0</v>
      </c>
      <c r="O136" s="122">
        <f>客服部最终提成计算表!$X138*0.15*0.8*0.08*'18年合同登记表'!X177/'18年合同登记表'!$M177</f>
        <v>0</v>
      </c>
      <c r="P136" s="122">
        <f>客服部最终提成计算表!$X138*0.15*0.8*0.05*'18年合同登记表'!X177/'18年合同登记表'!$M177</f>
        <v>0</v>
      </c>
      <c r="Q136" s="122">
        <f>客服部最终提成计算表!$X138*0.15*0.8*0.02*'18年合同登记表'!X177/'18年合同登记表'!$M177</f>
        <v>0</v>
      </c>
      <c r="R136" s="122">
        <f>客服部最终提成计算表!$X138*0.15*0.8*0.85*'18年合同登记表'!Z177/'18年合同登记表'!$M177</f>
        <v>0</v>
      </c>
      <c r="S136" s="122">
        <f>客服部最终提成计算表!$X138*0.15*0.8*0.08*'18年合同登记表'!Z177/'18年合同登记表'!$M177</f>
        <v>0</v>
      </c>
      <c r="T136" s="122">
        <f>客服部最终提成计算表!$X138*0.15*0.8*0.05*'18年合同登记表'!Z177/'18年合同登记表'!$M177</f>
        <v>0</v>
      </c>
      <c r="U136" s="122">
        <f>客服部最终提成计算表!$X138*0.15*0.8*0.02*'18年合同登记表'!Z177/'18年合同登记表'!$M177</f>
        <v>0</v>
      </c>
      <c r="V136" s="122">
        <f>客服部最终提成计算表!$X138*0.15*0.8*0.85*'18年合同登记表'!AB177/'18年合同登记表'!$M177</f>
        <v>0</v>
      </c>
      <c r="W136" s="122">
        <f>客服部最终提成计算表!$X138*0.15*0.8*0.08*'18年合同登记表'!AB177/'18年合同登记表'!$M177</f>
        <v>0</v>
      </c>
      <c r="X136" s="122">
        <f>客服部最终提成计算表!$X138*0.15*0.8*0.05*'18年合同登记表'!AB177/'18年合同登记表'!$M177</f>
        <v>0</v>
      </c>
      <c r="Y136" s="122">
        <f>客服部最终提成计算表!$X138*0.15*0.8*0.02*'18年合同登记表'!AB177/'18年合同登记表'!$M177</f>
        <v>0</v>
      </c>
      <c r="Z136" s="122">
        <f>客服部最终提成计算表!$X138*0.15*0.8*0.85*'18年合同登记表'!AD177/'18年合同登记表'!$M177</f>
        <v>0</v>
      </c>
      <c r="AA136" s="122">
        <f>客服部最终提成计算表!$X138*0.15*0.8*0.08*'18年合同登记表'!AD177/'18年合同登记表'!$M177</f>
        <v>0</v>
      </c>
      <c r="AB136" s="122">
        <f>客服部最终提成计算表!$X138*0.15*0.8*0.05*'18年合同登记表'!AD177/'18年合同登记表'!$M177</f>
        <v>0</v>
      </c>
      <c r="AC136" s="122">
        <f>客服部最终提成计算表!$X138*0.15*0.8*0.02*'18年合同登记表'!AD177/'18年合同登记表'!$M177</f>
        <v>0</v>
      </c>
      <c r="AD136" s="122">
        <f>客服部最终提成计算表!$X138*0.15*0.8*0.85*'18年合同登记表'!AF177/'18年合同登记表'!$M177</f>
        <v>0</v>
      </c>
      <c r="AE136" s="122">
        <f>客服部最终提成计算表!$X138*0.15*0.8*0.08*'18年合同登记表'!AF177/'18年合同登记表'!$M177</f>
        <v>0</v>
      </c>
      <c r="AF136" s="122">
        <f>客服部最终提成计算表!$X138*0.15*0.8*0.05*'18年合同登记表'!AF177/'18年合同登记表'!$M177</f>
        <v>0</v>
      </c>
      <c r="AG136" s="122">
        <f>客服部最终提成计算表!$X138*0.15*0.8*0.02*'18年合同登记表'!AF177/'18年合同登记表'!$M177</f>
        <v>0</v>
      </c>
      <c r="AH136" s="122">
        <f>客服部最终提成计算表!$X138*0.15*0.8*0.85*'18年合同登记表'!AH177/'18年合同登记表'!$M177</f>
        <v>0</v>
      </c>
      <c r="AI136" s="122">
        <f>客服部最终提成计算表!$X138*0.15*0.8*0.08*'18年合同登记表'!AH177/'18年合同登记表'!$M177</f>
        <v>0</v>
      </c>
      <c r="AJ136" s="122">
        <f>客服部最终提成计算表!$X138*0.15*0.8*0.05*'18年合同登记表'!AH177/'18年合同登记表'!$M177</f>
        <v>0</v>
      </c>
      <c r="AK136" s="122">
        <f>客服部最终提成计算表!$X138*0.15*0.8*0.02*'18年合同登记表'!AH177/'18年合同登记表'!$M177</f>
        <v>0</v>
      </c>
      <c r="AL136" s="122">
        <f>客服部最终提成计算表!$X138*0.15*0.8*0.85*'18年合同登记表'!AJ177/'18年合同登记表'!$M177</f>
        <v>0</v>
      </c>
      <c r="AM136" s="122">
        <f>客服部最终提成计算表!$X138*0.15*0.8*0.08*'18年合同登记表'!AJ177/'18年合同登记表'!$M177</f>
        <v>0</v>
      </c>
      <c r="AN136" s="122">
        <f>客服部最终提成计算表!$X138*0.15*0.8*0.05*'18年合同登记表'!AJ177/'18年合同登记表'!$M177</f>
        <v>0</v>
      </c>
      <c r="AO136" s="122">
        <f>客服部最终提成计算表!$X138*0.15*0.8*0.02*'18年合同登记表'!AJ177/'18年合同登记表'!$M177</f>
        <v>0</v>
      </c>
      <c r="AP136" s="122">
        <f>客服部最终提成计算表!$X138*0.15*0.8*0.85*'18年合同登记表'!AL177/'18年合同登记表'!$M177</f>
        <v>0</v>
      </c>
      <c r="AQ136" s="122">
        <f>客服部最终提成计算表!$X138*0.15*0.8*0.08*'18年合同登记表'!AL177/'18年合同登记表'!$M177</f>
        <v>0</v>
      </c>
      <c r="AR136" s="122">
        <f>客服部最终提成计算表!$X138*0.15*0.8*0.05*'18年合同登记表'!AL177/'18年合同登记表'!$M177</f>
        <v>0</v>
      </c>
      <c r="AS136" s="122">
        <f>客服部最终提成计算表!$X138*0.15*0.8*0.02*'18年合同登记表'!AL177/'18年合同登记表'!$M177</f>
        <v>0</v>
      </c>
      <c r="AT136" s="122">
        <f>客服部最终提成计算表!$X138*0.15*0.8*0.85*'18年合同登记表'!AN177/'18年合同登记表'!$M177</f>
        <v>0</v>
      </c>
      <c r="AU136" s="122">
        <f>客服部最终提成计算表!$X138*0.15*0.8*0.08*'18年合同登记表'!AN177/'18年合同登记表'!$M177</f>
        <v>0</v>
      </c>
      <c r="AV136" s="122">
        <f>客服部最终提成计算表!$X138*0.15*0.8*0.05*'18年合同登记表'!AN177/'18年合同登记表'!$M177</f>
        <v>0</v>
      </c>
      <c r="AW136" s="122">
        <f>客服部最终提成计算表!$X138*0.15*0.8*0.02*'18年合同登记表'!AN177/'18年合同登记表'!$M177</f>
        <v>0</v>
      </c>
      <c r="AX136" s="122">
        <f>客服部最终提成计算表!$X138*0.15*0.8*0.85*'18年合同登记表'!AP177/'18年合同登记表'!$M177</f>
        <v>0</v>
      </c>
      <c r="AY136" s="122">
        <f>客服部最终提成计算表!$X138*0.15*0.8*0.08*'18年合同登记表'!AP177/'18年合同登记表'!$M177</f>
        <v>0</v>
      </c>
      <c r="AZ136" s="122">
        <f>客服部最终提成计算表!$X138*0.15*0.8*0.05*'18年合同登记表'!AP177/'18年合同登记表'!$M177</f>
        <v>0</v>
      </c>
      <c r="BA136" s="131">
        <f>客服部最终提成计算表!$X138*0.15*0.8*0.02*'18年合同登记表'!AP177/'18年合同登记表'!$M177</f>
        <v>0</v>
      </c>
    </row>
    <row r="137" s="104" customFormat="1" ht="14.25" spans="1:53">
      <c r="A137" s="117"/>
      <c r="B137" s="118" t="str">
        <f>'18年合同登记表'!F178</f>
        <v>香岩寺</v>
      </c>
      <c r="C137" s="119" t="str">
        <f>'18年合同登记表'!H178</f>
        <v>RH-20181122-L-01-01-049</v>
      </c>
      <c r="D137" s="119" t="str">
        <f>'18年合同登记表'!I178</f>
        <v>定压补水罐内胆更换</v>
      </c>
      <c r="E137" s="120" t="str">
        <f>'18年合同登记表'!L178</f>
        <v>陈勇</v>
      </c>
      <c r="F137" s="121">
        <f>客服部最终提成计算表!$X139*0.15*0.8*0.85*'18年合同登记表'!T178/'18年合同登记表'!$M178</f>
        <v>0</v>
      </c>
      <c r="G137" s="122">
        <f>客服部最终提成计算表!$X139*0.15*0.8*0.08*'18年合同登记表'!T178/'18年合同登记表'!$M178</f>
        <v>0</v>
      </c>
      <c r="H137" s="122">
        <f>客服部最终提成计算表!$X139*0.15*0.8*0.05*'18年合同登记表'!T178/'18年合同登记表'!$M178</f>
        <v>0</v>
      </c>
      <c r="I137" s="122">
        <f>客服部最终提成计算表!$X139*0.15*0.8*0.02*'18年合同登记表'!T178/'18年合同登记表'!$M178</f>
        <v>0</v>
      </c>
      <c r="J137" s="122">
        <f>客服部最终提成计算表!$X139*0.15*0.8*0.85*'18年合同登记表'!V178/'18年合同登记表'!$M178</f>
        <v>0</v>
      </c>
      <c r="K137" s="122">
        <f>客服部最终提成计算表!$X139*0.15*0.8*0.08*'18年合同登记表'!V178/'18年合同登记表'!$M178</f>
        <v>0</v>
      </c>
      <c r="L137" s="122">
        <f>客服部最终提成计算表!$X139*0.15*0.8*0.05*'18年合同登记表'!V178/'18年合同登记表'!$M178</f>
        <v>0</v>
      </c>
      <c r="M137" s="122">
        <f>客服部最终提成计算表!$X139*0.15*0.8*0.02*'18年合同登记表'!V178/'18年合同登记表'!$M178</f>
        <v>0</v>
      </c>
      <c r="N137" s="122">
        <f>客服部最终提成计算表!$X139*0.15*0.8*0.85*'18年合同登记表'!X178/'18年合同登记表'!$M178</f>
        <v>0</v>
      </c>
      <c r="O137" s="122">
        <f>客服部最终提成计算表!$X139*0.15*0.8*0.08*'18年合同登记表'!X178/'18年合同登记表'!$M178</f>
        <v>0</v>
      </c>
      <c r="P137" s="122">
        <f>客服部最终提成计算表!$X139*0.15*0.8*0.05*'18年合同登记表'!X178/'18年合同登记表'!$M178</f>
        <v>0</v>
      </c>
      <c r="Q137" s="122">
        <f>客服部最终提成计算表!$X139*0.15*0.8*0.02*'18年合同登记表'!X178/'18年合同登记表'!$M178</f>
        <v>0</v>
      </c>
      <c r="R137" s="122">
        <f>客服部最终提成计算表!$X139*0.15*0.8*0.85*'18年合同登记表'!Z178/'18年合同登记表'!$M178</f>
        <v>0</v>
      </c>
      <c r="S137" s="122">
        <f>客服部最终提成计算表!$X139*0.15*0.8*0.08*'18年合同登记表'!Z178/'18年合同登记表'!$M178</f>
        <v>0</v>
      </c>
      <c r="T137" s="122">
        <f>客服部最终提成计算表!$X139*0.15*0.8*0.05*'18年合同登记表'!Z178/'18年合同登记表'!$M178</f>
        <v>0</v>
      </c>
      <c r="U137" s="122">
        <f>客服部最终提成计算表!$X139*0.15*0.8*0.02*'18年合同登记表'!Z178/'18年合同登记表'!$M178</f>
        <v>0</v>
      </c>
      <c r="V137" s="122">
        <f>客服部最终提成计算表!$X139*0.15*0.8*0.85*'18年合同登记表'!AB178/'18年合同登记表'!$M178</f>
        <v>0</v>
      </c>
      <c r="W137" s="122">
        <f>客服部最终提成计算表!$X139*0.15*0.8*0.08*'18年合同登记表'!AB178/'18年合同登记表'!$M178</f>
        <v>0</v>
      </c>
      <c r="X137" s="122">
        <f>客服部最终提成计算表!$X139*0.15*0.8*0.05*'18年合同登记表'!AB178/'18年合同登记表'!$M178</f>
        <v>0</v>
      </c>
      <c r="Y137" s="122">
        <f>客服部最终提成计算表!$X139*0.15*0.8*0.02*'18年合同登记表'!AB178/'18年合同登记表'!$M178</f>
        <v>0</v>
      </c>
      <c r="Z137" s="122">
        <f>客服部最终提成计算表!$X139*0.15*0.8*0.85*'18年合同登记表'!AD178/'18年合同登记表'!$M178</f>
        <v>0</v>
      </c>
      <c r="AA137" s="122">
        <f>客服部最终提成计算表!$X139*0.15*0.8*0.08*'18年合同登记表'!AD178/'18年合同登记表'!$M178</f>
        <v>0</v>
      </c>
      <c r="AB137" s="122">
        <f>客服部最终提成计算表!$X139*0.15*0.8*0.05*'18年合同登记表'!AD178/'18年合同登记表'!$M178</f>
        <v>0</v>
      </c>
      <c r="AC137" s="122">
        <f>客服部最终提成计算表!$X139*0.15*0.8*0.02*'18年合同登记表'!AD178/'18年合同登记表'!$M178</f>
        <v>0</v>
      </c>
      <c r="AD137" s="122">
        <f>客服部最终提成计算表!$X139*0.15*0.8*0.85*'18年合同登记表'!AF178/'18年合同登记表'!$M178</f>
        <v>0</v>
      </c>
      <c r="AE137" s="122">
        <f>客服部最终提成计算表!$X139*0.15*0.8*0.08*'18年合同登记表'!AF178/'18年合同登记表'!$M178</f>
        <v>0</v>
      </c>
      <c r="AF137" s="122">
        <f>客服部最终提成计算表!$X139*0.15*0.8*0.05*'18年合同登记表'!AF178/'18年合同登记表'!$M178</f>
        <v>0</v>
      </c>
      <c r="AG137" s="122">
        <f>客服部最终提成计算表!$X139*0.15*0.8*0.02*'18年合同登记表'!AF178/'18年合同登记表'!$M178</f>
        <v>0</v>
      </c>
      <c r="AH137" s="122">
        <f>客服部最终提成计算表!$X139*0.15*0.8*0.85*'18年合同登记表'!AH178/'18年合同登记表'!$M178</f>
        <v>0</v>
      </c>
      <c r="AI137" s="122">
        <f>客服部最终提成计算表!$X139*0.15*0.8*0.08*'18年合同登记表'!AH178/'18年合同登记表'!$M178</f>
        <v>0</v>
      </c>
      <c r="AJ137" s="122">
        <f>客服部最终提成计算表!$X139*0.15*0.8*0.05*'18年合同登记表'!AH178/'18年合同登记表'!$M178</f>
        <v>0</v>
      </c>
      <c r="AK137" s="122">
        <f>客服部最终提成计算表!$X139*0.15*0.8*0.02*'18年合同登记表'!AH178/'18年合同登记表'!$M178</f>
        <v>0</v>
      </c>
      <c r="AL137" s="122">
        <f>客服部最终提成计算表!$X139*0.15*0.8*0.85*'18年合同登记表'!AJ178/'18年合同登记表'!$M178</f>
        <v>0</v>
      </c>
      <c r="AM137" s="122">
        <f>客服部最终提成计算表!$X139*0.15*0.8*0.08*'18年合同登记表'!AJ178/'18年合同登记表'!$M178</f>
        <v>0</v>
      </c>
      <c r="AN137" s="122">
        <f>客服部最终提成计算表!$X139*0.15*0.8*0.05*'18年合同登记表'!AJ178/'18年合同登记表'!$M178</f>
        <v>0</v>
      </c>
      <c r="AO137" s="122">
        <f>客服部最终提成计算表!$X139*0.15*0.8*0.02*'18年合同登记表'!AJ178/'18年合同登记表'!$M178</f>
        <v>0</v>
      </c>
      <c r="AP137" s="122">
        <f>客服部最终提成计算表!$X139*0.15*0.8*0.85*'18年合同登记表'!AL178/'18年合同登记表'!$M178</f>
        <v>0</v>
      </c>
      <c r="AQ137" s="122">
        <f>客服部最终提成计算表!$X139*0.15*0.8*0.08*'18年合同登记表'!AL178/'18年合同登记表'!$M178</f>
        <v>0</v>
      </c>
      <c r="AR137" s="122">
        <f>客服部最终提成计算表!$X139*0.15*0.8*0.05*'18年合同登记表'!AL178/'18年合同登记表'!$M178</f>
        <v>0</v>
      </c>
      <c r="AS137" s="122">
        <f>客服部最终提成计算表!$X139*0.15*0.8*0.02*'18年合同登记表'!AL178/'18年合同登记表'!$M178</f>
        <v>0</v>
      </c>
      <c r="AT137" s="122">
        <f>客服部最终提成计算表!$X139*0.15*0.8*0.85*'18年合同登记表'!AN178/'18年合同登记表'!$M178</f>
        <v>0</v>
      </c>
      <c r="AU137" s="122">
        <f>客服部最终提成计算表!$X139*0.15*0.8*0.08*'18年合同登记表'!AN178/'18年合同登记表'!$M178</f>
        <v>0</v>
      </c>
      <c r="AV137" s="122">
        <f>客服部最终提成计算表!$X139*0.15*0.8*0.05*'18年合同登记表'!AN178/'18年合同登记表'!$M178</f>
        <v>0</v>
      </c>
      <c r="AW137" s="122">
        <f>客服部最终提成计算表!$X139*0.15*0.8*0.02*'18年合同登记表'!AN178/'18年合同登记表'!$M178</f>
        <v>0</v>
      </c>
      <c r="AX137" s="122">
        <f>客服部最终提成计算表!$X139*0.15*0.8*0.85*'18年合同登记表'!AP178/'18年合同登记表'!$M178</f>
        <v>0</v>
      </c>
      <c r="AY137" s="122">
        <f>客服部最终提成计算表!$X139*0.15*0.8*0.08*'18年合同登记表'!AP178/'18年合同登记表'!$M178</f>
        <v>0</v>
      </c>
      <c r="AZ137" s="122">
        <f>客服部最终提成计算表!$X139*0.15*0.8*0.05*'18年合同登记表'!AP178/'18年合同登记表'!$M178</f>
        <v>0</v>
      </c>
      <c r="BA137" s="131">
        <f>客服部最终提成计算表!$X139*0.15*0.8*0.02*'18年合同登记表'!AP178/'18年合同登记表'!$M178</f>
        <v>0</v>
      </c>
    </row>
    <row r="138" s="104" customFormat="1" ht="14.25" spans="1:53">
      <c r="A138" s="117"/>
      <c r="B138" s="118" t="str">
        <f>'18年合同登记表'!F179</f>
        <v>古文化广场</v>
      </c>
      <c r="C138" s="119" t="str">
        <f>'18年合同登记表'!H179</f>
        <v>NHS-20181220-L-01-01-049</v>
      </c>
      <c r="D138" s="119" t="e">
        <f>'18年合同登记表'!#REF!</f>
        <v>#REF!</v>
      </c>
      <c r="E138" s="120">
        <f>'18年合同登记表'!K179</f>
        <v>43818</v>
      </c>
      <c r="F138" s="121" t="e">
        <f>客服部最终提成计算表!$X140*0.15*0.8*0.85*'18年合同登记表'!T179/'18年合同登记表'!$L179</f>
        <v>#VALUE!</v>
      </c>
      <c r="G138" s="122" t="e">
        <f>客服部最终提成计算表!$X140*0.15*0.8*0.08*'18年合同登记表'!T179/'18年合同登记表'!$L179</f>
        <v>#VALUE!</v>
      </c>
      <c r="H138" s="122" t="e">
        <f>客服部最终提成计算表!$X140*0.15*0.8*0.05*'18年合同登记表'!T179/'18年合同登记表'!$L179</f>
        <v>#VALUE!</v>
      </c>
      <c r="I138" s="122" t="e">
        <f>客服部最终提成计算表!$X140*0.15*0.8*0.02*'18年合同登记表'!T179/'18年合同登记表'!$L179</f>
        <v>#VALUE!</v>
      </c>
      <c r="J138" s="122" t="e">
        <f>客服部最终提成计算表!$X140*0.15*0.8*0.85*'18年合同登记表'!V179/'18年合同登记表'!$L179</f>
        <v>#VALUE!</v>
      </c>
      <c r="K138" s="122" t="e">
        <f>客服部最终提成计算表!$X140*0.15*0.8*0.08*'18年合同登记表'!V179/'18年合同登记表'!$L179</f>
        <v>#VALUE!</v>
      </c>
      <c r="L138" s="122" t="e">
        <f>客服部最终提成计算表!$X140*0.15*0.8*0.05*'18年合同登记表'!V179/'18年合同登记表'!$L179</f>
        <v>#VALUE!</v>
      </c>
      <c r="M138" s="122" t="e">
        <f>客服部最终提成计算表!$X140*0.15*0.8*0.02*'18年合同登记表'!V179/'18年合同登记表'!$L179</f>
        <v>#VALUE!</v>
      </c>
      <c r="N138" s="122" t="e">
        <f>客服部最终提成计算表!$X140*0.15*0.8*0.85*'18年合同登记表'!X179/'18年合同登记表'!$L179</f>
        <v>#VALUE!</v>
      </c>
      <c r="O138" s="122" t="e">
        <f>客服部最终提成计算表!$X140*0.15*0.8*0.08*'18年合同登记表'!X179/'18年合同登记表'!$L179</f>
        <v>#VALUE!</v>
      </c>
      <c r="P138" s="122" t="e">
        <f>客服部最终提成计算表!$X140*0.15*0.8*0.05*'18年合同登记表'!X179/'18年合同登记表'!$L179</f>
        <v>#VALUE!</v>
      </c>
      <c r="Q138" s="122" t="e">
        <f>客服部最终提成计算表!$X140*0.15*0.8*0.02*'18年合同登记表'!X179/'18年合同登记表'!$L179</f>
        <v>#VALUE!</v>
      </c>
      <c r="R138" s="122" t="e">
        <f>客服部最终提成计算表!$X140*0.15*0.8*0.85*'18年合同登记表'!Z179/'18年合同登记表'!$L179</f>
        <v>#VALUE!</v>
      </c>
      <c r="S138" s="122" t="e">
        <f>客服部最终提成计算表!$X140*0.15*0.8*0.08*'18年合同登记表'!Z179/'18年合同登记表'!$L179</f>
        <v>#VALUE!</v>
      </c>
      <c r="T138" s="122" t="e">
        <f>客服部最终提成计算表!$X140*0.15*0.8*0.05*'18年合同登记表'!Z179/'18年合同登记表'!$L179</f>
        <v>#VALUE!</v>
      </c>
      <c r="U138" s="122" t="e">
        <f>客服部最终提成计算表!$X140*0.15*0.8*0.02*'18年合同登记表'!Z179/'18年合同登记表'!$L179</f>
        <v>#VALUE!</v>
      </c>
      <c r="V138" s="122" t="e">
        <f>客服部最终提成计算表!$X140*0.15*0.8*0.85*'18年合同登记表'!AB179/'18年合同登记表'!$L179</f>
        <v>#VALUE!</v>
      </c>
      <c r="W138" s="122" t="e">
        <f>客服部最终提成计算表!$X140*0.15*0.8*0.08*'18年合同登记表'!AB179/'18年合同登记表'!$L179</f>
        <v>#VALUE!</v>
      </c>
      <c r="X138" s="122" t="e">
        <f>客服部最终提成计算表!$X140*0.15*0.8*0.05*'18年合同登记表'!AB179/'18年合同登记表'!$L179</f>
        <v>#VALUE!</v>
      </c>
      <c r="Y138" s="122" t="e">
        <f>客服部最终提成计算表!$X140*0.15*0.8*0.02*'18年合同登记表'!AB179/'18年合同登记表'!$L179</f>
        <v>#VALUE!</v>
      </c>
      <c r="Z138" s="122" t="e">
        <f>客服部最终提成计算表!$X140*0.15*0.8*0.85*'18年合同登记表'!AD179/'18年合同登记表'!$L179</f>
        <v>#VALUE!</v>
      </c>
      <c r="AA138" s="122" t="e">
        <f>客服部最终提成计算表!$X140*0.15*0.8*0.08*'18年合同登记表'!AD179/'18年合同登记表'!$L179</f>
        <v>#VALUE!</v>
      </c>
      <c r="AB138" s="122" t="e">
        <f>客服部最终提成计算表!$X140*0.15*0.8*0.05*'18年合同登记表'!AD179/'18年合同登记表'!$L179</f>
        <v>#VALUE!</v>
      </c>
      <c r="AC138" s="122" t="e">
        <f>客服部最终提成计算表!$X140*0.15*0.8*0.02*'18年合同登记表'!AD179/'18年合同登记表'!$L179</f>
        <v>#VALUE!</v>
      </c>
      <c r="AD138" s="122" t="e">
        <f>客服部最终提成计算表!$X140*0.15*0.8*0.85*'18年合同登记表'!AF179/'18年合同登记表'!$L179</f>
        <v>#VALUE!</v>
      </c>
      <c r="AE138" s="122" t="e">
        <f>客服部最终提成计算表!$X140*0.15*0.8*0.08*'18年合同登记表'!AF179/'18年合同登记表'!$L179</f>
        <v>#VALUE!</v>
      </c>
      <c r="AF138" s="122" t="e">
        <f>客服部最终提成计算表!$X140*0.15*0.8*0.05*'18年合同登记表'!AF179/'18年合同登记表'!$L179</f>
        <v>#VALUE!</v>
      </c>
      <c r="AG138" s="122" t="e">
        <f>客服部最终提成计算表!$X140*0.15*0.8*0.02*'18年合同登记表'!AF179/'18年合同登记表'!$L179</f>
        <v>#VALUE!</v>
      </c>
      <c r="AH138" s="122" t="e">
        <f>客服部最终提成计算表!$X140*0.15*0.8*0.85*'18年合同登记表'!AH179/'18年合同登记表'!$L179</f>
        <v>#VALUE!</v>
      </c>
      <c r="AI138" s="122" t="e">
        <f>客服部最终提成计算表!$X140*0.15*0.8*0.08*'18年合同登记表'!AH179/'18年合同登记表'!$L179</f>
        <v>#VALUE!</v>
      </c>
      <c r="AJ138" s="122" t="e">
        <f>客服部最终提成计算表!$X140*0.15*0.8*0.05*'18年合同登记表'!AH179/'18年合同登记表'!$L179</f>
        <v>#VALUE!</v>
      </c>
      <c r="AK138" s="122" t="e">
        <f>客服部最终提成计算表!$X140*0.15*0.8*0.02*'18年合同登记表'!AH179/'18年合同登记表'!$L179</f>
        <v>#VALUE!</v>
      </c>
      <c r="AL138" s="122" t="e">
        <f>客服部最终提成计算表!$X140*0.15*0.8*0.85*'18年合同登记表'!AJ179/'18年合同登记表'!$L179</f>
        <v>#VALUE!</v>
      </c>
      <c r="AM138" s="122" t="e">
        <f>客服部最终提成计算表!$X140*0.15*0.8*0.08*'18年合同登记表'!AJ179/'18年合同登记表'!$L179</f>
        <v>#VALUE!</v>
      </c>
      <c r="AN138" s="122" t="e">
        <f>客服部最终提成计算表!$X140*0.15*0.8*0.05*'18年合同登记表'!AJ179/'18年合同登记表'!$L179</f>
        <v>#VALUE!</v>
      </c>
      <c r="AO138" s="122" t="e">
        <f>客服部最终提成计算表!$X140*0.15*0.8*0.02*'18年合同登记表'!AJ179/'18年合同登记表'!$L179</f>
        <v>#VALUE!</v>
      </c>
      <c r="AP138" s="122" t="e">
        <f>客服部最终提成计算表!$X140*0.15*0.8*0.85*'18年合同登记表'!AL179/'18年合同登记表'!$L179</f>
        <v>#VALUE!</v>
      </c>
      <c r="AQ138" s="122" t="e">
        <f>客服部最终提成计算表!$X140*0.15*0.8*0.08*'18年合同登记表'!AL179/'18年合同登记表'!$L179</f>
        <v>#VALUE!</v>
      </c>
      <c r="AR138" s="122" t="e">
        <f>客服部最终提成计算表!$X140*0.15*0.8*0.05*'18年合同登记表'!AL179/'18年合同登记表'!$L179</f>
        <v>#VALUE!</v>
      </c>
      <c r="AS138" s="122" t="e">
        <f>客服部最终提成计算表!$X140*0.15*0.8*0.02*'18年合同登记表'!AL179/'18年合同登记表'!$L179</f>
        <v>#VALUE!</v>
      </c>
      <c r="AT138" s="122" t="e">
        <f>客服部最终提成计算表!$X140*0.15*0.8*0.85*'18年合同登记表'!AN179/'18年合同登记表'!$L179</f>
        <v>#VALUE!</v>
      </c>
      <c r="AU138" s="122" t="e">
        <f>客服部最终提成计算表!$X140*0.15*0.8*0.08*'18年合同登记表'!AN179/'18年合同登记表'!$L179</f>
        <v>#VALUE!</v>
      </c>
      <c r="AV138" s="122" t="e">
        <f>客服部最终提成计算表!$X140*0.15*0.8*0.05*'18年合同登记表'!AN179/'18年合同登记表'!$L179</f>
        <v>#VALUE!</v>
      </c>
      <c r="AW138" s="122" t="e">
        <f>客服部最终提成计算表!$X140*0.15*0.8*0.02*'18年合同登记表'!AN179/'18年合同登记表'!$L179</f>
        <v>#VALUE!</v>
      </c>
      <c r="AX138" s="122" t="e">
        <f>客服部最终提成计算表!$X140*0.15*0.8*0.85*'18年合同登记表'!AP179/'18年合同登记表'!$L179</f>
        <v>#VALUE!</v>
      </c>
      <c r="AY138" s="122" t="e">
        <f>客服部最终提成计算表!$X140*0.15*0.8*0.08*'18年合同登记表'!AP179/'18年合同登记表'!$L179</f>
        <v>#VALUE!</v>
      </c>
      <c r="AZ138" s="122" t="e">
        <f>客服部最终提成计算表!$X140*0.15*0.8*0.05*'18年合同登记表'!AP179/'18年合同登记表'!$L179</f>
        <v>#VALUE!</v>
      </c>
      <c r="BA138" s="131" t="e">
        <f>客服部最终提成计算表!$X140*0.15*0.8*0.02*'18年合同登记表'!AP179/'18年合同登记表'!$L179</f>
        <v>#VALUE!</v>
      </c>
    </row>
    <row r="139" s="104" customFormat="1" ht="14.25" spans="1:53">
      <c r="A139" s="117"/>
      <c r="B139" s="118" t="str">
        <f>'18年合同登记表'!F180</f>
        <v>京蒙蒙大厦</v>
      </c>
      <c r="C139" s="119">
        <f>'18年合同登记表'!H180</f>
        <v>0</v>
      </c>
      <c r="D139" s="119" t="str">
        <f>'18年合同登记表'!I180</f>
        <v>直燃机采暖器清洗</v>
      </c>
      <c r="E139" s="120" t="str">
        <f>'18年合同登记表'!L180</f>
        <v>王东</v>
      </c>
      <c r="F139" s="121">
        <f>客服部最终提成计算表!$X141*0.15*0.8*0.85*'18年合同登记表'!T180/'18年合同登记表'!$M180</f>
        <v>0</v>
      </c>
      <c r="G139" s="122">
        <f>客服部最终提成计算表!$X141*0.15*0.8*0.08*'18年合同登记表'!T180/'18年合同登记表'!$M180</f>
        <v>0</v>
      </c>
      <c r="H139" s="122">
        <f>客服部最终提成计算表!$X141*0.15*0.8*0.05*'18年合同登记表'!T180/'18年合同登记表'!$M180</f>
        <v>0</v>
      </c>
      <c r="I139" s="122">
        <f>客服部最终提成计算表!$X141*0.15*0.8*0.02*'18年合同登记表'!T180/'18年合同登记表'!$M180</f>
        <v>0</v>
      </c>
      <c r="J139" s="122">
        <f>客服部最终提成计算表!$X141*0.15*0.8*0.85*'18年合同登记表'!V180/'18年合同登记表'!$M180</f>
        <v>0</v>
      </c>
      <c r="K139" s="122">
        <f>客服部最终提成计算表!$X141*0.15*0.8*0.08*'18年合同登记表'!V180/'18年合同登记表'!$M180</f>
        <v>0</v>
      </c>
      <c r="L139" s="122">
        <f>客服部最终提成计算表!$X141*0.15*0.8*0.05*'18年合同登记表'!V180/'18年合同登记表'!$M180</f>
        <v>0</v>
      </c>
      <c r="M139" s="122">
        <f>客服部最终提成计算表!$X141*0.15*0.8*0.02*'18年合同登记表'!V180/'18年合同登记表'!$M180</f>
        <v>0</v>
      </c>
      <c r="N139" s="122">
        <f>客服部最终提成计算表!$X141*0.15*0.8*0.85*'18年合同登记表'!X180/'18年合同登记表'!$M180</f>
        <v>0</v>
      </c>
      <c r="O139" s="122">
        <f>客服部最终提成计算表!$X141*0.15*0.8*0.08*'18年合同登记表'!X180/'18年合同登记表'!$M180</f>
        <v>0</v>
      </c>
      <c r="P139" s="122">
        <f>客服部最终提成计算表!$X141*0.15*0.8*0.05*'18年合同登记表'!X180/'18年合同登记表'!$M180</f>
        <v>0</v>
      </c>
      <c r="Q139" s="122">
        <f>客服部最终提成计算表!$X141*0.15*0.8*0.02*'18年合同登记表'!X180/'18年合同登记表'!$M180</f>
        <v>0</v>
      </c>
      <c r="R139" s="122">
        <f>客服部最终提成计算表!$X141*0.15*0.8*0.85*'18年合同登记表'!Z180/'18年合同登记表'!$M180</f>
        <v>0</v>
      </c>
      <c r="S139" s="122">
        <f>客服部最终提成计算表!$X141*0.15*0.8*0.08*'18年合同登记表'!Z180/'18年合同登记表'!$M180</f>
        <v>0</v>
      </c>
      <c r="T139" s="122">
        <f>客服部最终提成计算表!$X141*0.15*0.8*0.05*'18年合同登记表'!Z180/'18年合同登记表'!$M180</f>
        <v>0</v>
      </c>
      <c r="U139" s="122">
        <f>客服部最终提成计算表!$X141*0.15*0.8*0.02*'18年合同登记表'!Z180/'18年合同登记表'!$M180</f>
        <v>0</v>
      </c>
      <c r="V139" s="122">
        <f>客服部最终提成计算表!$X141*0.15*0.8*0.85*'18年合同登记表'!AB180/'18年合同登记表'!$M180</f>
        <v>0</v>
      </c>
      <c r="W139" s="122">
        <f>客服部最终提成计算表!$X141*0.15*0.8*0.08*'18年合同登记表'!AB180/'18年合同登记表'!$M180</f>
        <v>0</v>
      </c>
      <c r="X139" s="122">
        <f>客服部最终提成计算表!$X141*0.15*0.8*0.05*'18年合同登记表'!AB180/'18年合同登记表'!$M180</f>
        <v>0</v>
      </c>
      <c r="Y139" s="122">
        <f>客服部最终提成计算表!$X141*0.15*0.8*0.02*'18年合同登记表'!AB180/'18年合同登记表'!$M180</f>
        <v>0</v>
      </c>
      <c r="Z139" s="122">
        <f>客服部最终提成计算表!$X141*0.15*0.8*0.85*'18年合同登记表'!AD180/'18年合同登记表'!$M180</f>
        <v>0</v>
      </c>
      <c r="AA139" s="122">
        <f>客服部最终提成计算表!$X141*0.15*0.8*0.08*'18年合同登记表'!AD180/'18年合同登记表'!$M180</f>
        <v>0</v>
      </c>
      <c r="AB139" s="122">
        <f>客服部最终提成计算表!$X141*0.15*0.8*0.05*'18年合同登记表'!AD180/'18年合同登记表'!$M180</f>
        <v>0</v>
      </c>
      <c r="AC139" s="122">
        <f>客服部最终提成计算表!$X141*0.15*0.8*0.02*'18年合同登记表'!AD180/'18年合同登记表'!$M180</f>
        <v>0</v>
      </c>
      <c r="AD139" s="122">
        <f>客服部最终提成计算表!$X141*0.15*0.8*0.85*'18年合同登记表'!AF180/'18年合同登记表'!$M180</f>
        <v>0</v>
      </c>
      <c r="AE139" s="122">
        <f>客服部最终提成计算表!$X141*0.15*0.8*0.08*'18年合同登记表'!AF180/'18年合同登记表'!$M180</f>
        <v>0</v>
      </c>
      <c r="AF139" s="122">
        <f>客服部最终提成计算表!$X141*0.15*0.8*0.05*'18年合同登记表'!AF180/'18年合同登记表'!$M180</f>
        <v>0</v>
      </c>
      <c r="AG139" s="122">
        <f>客服部最终提成计算表!$X141*0.15*0.8*0.02*'18年合同登记表'!AF180/'18年合同登记表'!$M180</f>
        <v>0</v>
      </c>
      <c r="AH139" s="122">
        <f>客服部最终提成计算表!$X141*0.15*0.8*0.85*'18年合同登记表'!AH180/'18年合同登记表'!$M180</f>
        <v>0</v>
      </c>
      <c r="AI139" s="122">
        <f>客服部最终提成计算表!$X141*0.15*0.8*0.08*'18年合同登记表'!AH180/'18年合同登记表'!$M180</f>
        <v>0</v>
      </c>
      <c r="AJ139" s="122">
        <f>客服部最终提成计算表!$X141*0.15*0.8*0.05*'18年合同登记表'!AH180/'18年合同登记表'!$M180</f>
        <v>0</v>
      </c>
      <c r="AK139" s="122">
        <f>客服部最终提成计算表!$X141*0.15*0.8*0.02*'18年合同登记表'!AH180/'18年合同登记表'!$M180</f>
        <v>0</v>
      </c>
      <c r="AL139" s="122">
        <f>客服部最终提成计算表!$X141*0.15*0.8*0.85*'18年合同登记表'!AJ180/'18年合同登记表'!$M180</f>
        <v>0</v>
      </c>
      <c r="AM139" s="122">
        <f>客服部最终提成计算表!$X141*0.15*0.8*0.08*'18年合同登记表'!AJ180/'18年合同登记表'!$M180</f>
        <v>0</v>
      </c>
      <c r="AN139" s="122">
        <f>客服部最终提成计算表!$X141*0.15*0.8*0.05*'18年合同登记表'!AJ180/'18年合同登记表'!$M180</f>
        <v>0</v>
      </c>
      <c r="AO139" s="122">
        <f>客服部最终提成计算表!$X141*0.15*0.8*0.02*'18年合同登记表'!AJ180/'18年合同登记表'!$M180</f>
        <v>0</v>
      </c>
      <c r="AP139" s="122">
        <f>客服部最终提成计算表!$X141*0.15*0.8*0.85*'18年合同登记表'!AL180/'18年合同登记表'!$M180</f>
        <v>0</v>
      </c>
      <c r="AQ139" s="122">
        <f>客服部最终提成计算表!$X141*0.15*0.8*0.08*'18年合同登记表'!AL180/'18年合同登记表'!$M180</f>
        <v>0</v>
      </c>
      <c r="AR139" s="122">
        <f>客服部最终提成计算表!$X141*0.15*0.8*0.05*'18年合同登记表'!AL180/'18年合同登记表'!$M180</f>
        <v>0</v>
      </c>
      <c r="AS139" s="122">
        <f>客服部最终提成计算表!$X141*0.15*0.8*0.02*'18年合同登记表'!AL180/'18年合同登记表'!$M180</f>
        <v>0</v>
      </c>
      <c r="AT139" s="122">
        <f>客服部最终提成计算表!$X141*0.15*0.8*0.85*'18年合同登记表'!AN180/'18年合同登记表'!$M180</f>
        <v>428.4</v>
      </c>
      <c r="AU139" s="122">
        <f>客服部最终提成计算表!$X141*0.15*0.8*0.08*'18年合同登记表'!AN180/'18年合同登记表'!$M180</f>
        <v>40.32</v>
      </c>
      <c r="AV139" s="122">
        <f>客服部最终提成计算表!$X141*0.15*0.8*0.05*'18年合同登记表'!AN180/'18年合同登记表'!$M180</f>
        <v>25.2</v>
      </c>
      <c r="AW139" s="122">
        <f>客服部最终提成计算表!$X141*0.15*0.8*0.02*'18年合同登记表'!AN180/'18年合同登记表'!$M180</f>
        <v>10.08</v>
      </c>
      <c r="AX139" s="122">
        <f>客服部最终提成计算表!$X141*0.15*0.8*0.85*'18年合同登记表'!AP180/'18年合同登记表'!$M180</f>
        <v>0</v>
      </c>
      <c r="AY139" s="122">
        <f>客服部最终提成计算表!$X141*0.15*0.8*0.08*'18年合同登记表'!AP180/'18年合同登记表'!$M180</f>
        <v>0</v>
      </c>
      <c r="AZ139" s="122">
        <f>客服部最终提成计算表!$X141*0.15*0.8*0.05*'18年合同登记表'!AP180/'18年合同登记表'!$M180</f>
        <v>0</v>
      </c>
      <c r="BA139" s="131">
        <f>客服部最终提成计算表!$X141*0.15*0.8*0.02*'18年合同登记表'!AP180/'18年合同登记表'!$M180</f>
        <v>0</v>
      </c>
    </row>
    <row r="140" s="104" customFormat="1" ht="14.25" spans="1:53">
      <c r="A140" s="123" t="s">
        <v>994</v>
      </c>
      <c r="B140" s="124">
        <f>'18年合同登记表'!F181</f>
        <v>0</v>
      </c>
      <c r="C140" s="125">
        <f>'18年合同登记表'!H181</f>
        <v>0</v>
      </c>
      <c r="D140" s="125">
        <f>'18年合同登记表'!I181</f>
        <v>0</v>
      </c>
      <c r="E140" s="126">
        <f>'18年合同登记表'!L181</f>
        <v>0</v>
      </c>
      <c r="F140" s="127" t="e">
        <f>SUM(F132:F139)</f>
        <v>#VALUE!</v>
      </c>
      <c r="G140" s="128" t="e">
        <f>客服部最终提成计算表!$X142*0.15*0.8*0.08*'18年合同登记表'!T181/'18年合同登记表'!$M181</f>
        <v>#VALUE!</v>
      </c>
      <c r="H140" s="128" t="e">
        <f>客服部最终提成计算表!$X142*0.15*0.8*0.05*'18年合同登记表'!T181/'18年合同登记表'!$M181</f>
        <v>#VALUE!</v>
      </c>
      <c r="I140" s="128" t="e">
        <f>客服部最终提成计算表!$X142*0.15*0.8*0.02*'18年合同登记表'!T181/'18年合同登记表'!$M181</f>
        <v>#VALUE!</v>
      </c>
      <c r="J140" s="128" t="e">
        <f>客服部最终提成计算表!$X142*0.15*0.8*0.85*'18年合同登记表'!V181/'18年合同登记表'!$M181</f>
        <v>#VALUE!</v>
      </c>
      <c r="K140" s="128" t="e">
        <f>客服部最终提成计算表!$X142*0.15*0.8*0.08*'18年合同登记表'!V181/'18年合同登记表'!$M181</f>
        <v>#VALUE!</v>
      </c>
      <c r="L140" s="128" t="e">
        <f>客服部最终提成计算表!$X142*0.15*0.8*0.05*'18年合同登记表'!V181/'18年合同登记表'!$M181</f>
        <v>#VALUE!</v>
      </c>
      <c r="M140" s="128" t="e">
        <f>客服部最终提成计算表!$X142*0.15*0.8*0.02*'18年合同登记表'!V181/'18年合同登记表'!$M181</f>
        <v>#VALUE!</v>
      </c>
      <c r="N140" s="128" t="e">
        <f>客服部最终提成计算表!$X142*0.15*0.8*0.85*'18年合同登记表'!X181/'18年合同登记表'!$M181</f>
        <v>#VALUE!</v>
      </c>
      <c r="O140" s="128" t="e">
        <f>客服部最终提成计算表!$X142*0.15*0.8*0.08*'18年合同登记表'!X181/'18年合同登记表'!$M181</f>
        <v>#VALUE!</v>
      </c>
      <c r="P140" s="128" t="e">
        <f>客服部最终提成计算表!$X142*0.15*0.8*0.05*'18年合同登记表'!X181/'18年合同登记表'!$M181</f>
        <v>#VALUE!</v>
      </c>
      <c r="Q140" s="128" t="e">
        <f>客服部最终提成计算表!$X142*0.15*0.8*0.02*'18年合同登记表'!X181/'18年合同登记表'!$M181</f>
        <v>#VALUE!</v>
      </c>
      <c r="R140" s="128" t="e">
        <f>客服部最终提成计算表!$X142*0.15*0.8*0.85*'18年合同登记表'!Z181/'18年合同登记表'!$M181</f>
        <v>#VALUE!</v>
      </c>
      <c r="S140" s="128" t="e">
        <f>客服部最终提成计算表!$X142*0.15*0.8*0.08*'18年合同登记表'!Z181/'18年合同登记表'!$M181</f>
        <v>#VALUE!</v>
      </c>
      <c r="T140" s="128" t="e">
        <f>客服部最终提成计算表!$X142*0.15*0.8*0.05*'18年合同登记表'!Z181/'18年合同登记表'!$M181</f>
        <v>#VALUE!</v>
      </c>
      <c r="U140" s="128" t="e">
        <f>客服部最终提成计算表!$X142*0.15*0.8*0.02*'18年合同登记表'!Z181/'18年合同登记表'!$M181</f>
        <v>#VALUE!</v>
      </c>
      <c r="V140" s="128" t="e">
        <f>客服部最终提成计算表!$X142*0.15*0.8*0.85*'18年合同登记表'!AB181/'18年合同登记表'!$M181</f>
        <v>#VALUE!</v>
      </c>
      <c r="W140" s="128" t="e">
        <f>客服部最终提成计算表!$X142*0.15*0.8*0.08*'18年合同登记表'!AB181/'18年合同登记表'!$M181</f>
        <v>#VALUE!</v>
      </c>
      <c r="X140" s="128" t="e">
        <f>客服部最终提成计算表!$X142*0.15*0.8*0.05*'18年合同登记表'!AB181/'18年合同登记表'!$M181</f>
        <v>#VALUE!</v>
      </c>
      <c r="Y140" s="128" t="e">
        <f>客服部最终提成计算表!$X142*0.15*0.8*0.02*'18年合同登记表'!AB181/'18年合同登记表'!$M181</f>
        <v>#VALUE!</v>
      </c>
      <c r="Z140" s="128" t="e">
        <f>客服部最终提成计算表!$X142*0.15*0.8*0.85*'18年合同登记表'!AD181/'18年合同登记表'!$M181</f>
        <v>#VALUE!</v>
      </c>
      <c r="AA140" s="128" t="e">
        <f>客服部最终提成计算表!$X142*0.15*0.8*0.08*'18年合同登记表'!AD181/'18年合同登记表'!$M181</f>
        <v>#VALUE!</v>
      </c>
      <c r="AB140" s="128" t="e">
        <f>客服部最终提成计算表!$X142*0.15*0.8*0.05*'18年合同登记表'!AD181/'18年合同登记表'!$M181</f>
        <v>#VALUE!</v>
      </c>
      <c r="AC140" s="128" t="e">
        <f>客服部最终提成计算表!$X142*0.15*0.8*0.02*'18年合同登记表'!AD181/'18年合同登记表'!$M181</f>
        <v>#VALUE!</v>
      </c>
      <c r="AD140" s="128" t="e">
        <f>客服部最终提成计算表!$X142*0.15*0.8*0.85*'18年合同登记表'!AF181/'18年合同登记表'!$M181</f>
        <v>#VALUE!</v>
      </c>
      <c r="AE140" s="128" t="e">
        <f>客服部最终提成计算表!$X142*0.15*0.8*0.08*'18年合同登记表'!AF181/'18年合同登记表'!$M181</f>
        <v>#VALUE!</v>
      </c>
      <c r="AF140" s="128" t="e">
        <f>客服部最终提成计算表!$X142*0.15*0.8*0.05*'18年合同登记表'!AF181/'18年合同登记表'!$M181</f>
        <v>#VALUE!</v>
      </c>
      <c r="AG140" s="128" t="e">
        <f>客服部最终提成计算表!$X142*0.15*0.8*0.02*'18年合同登记表'!AF181/'18年合同登记表'!$M181</f>
        <v>#VALUE!</v>
      </c>
      <c r="AH140" s="128" t="e">
        <f>客服部最终提成计算表!$X142*0.15*0.8*0.85*'18年合同登记表'!AH181/'18年合同登记表'!$M181</f>
        <v>#VALUE!</v>
      </c>
      <c r="AI140" s="128" t="e">
        <f>客服部最终提成计算表!$X142*0.15*0.8*0.08*'18年合同登记表'!AH181/'18年合同登记表'!$M181</f>
        <v>#VALUE!</v>
      </c>
      <c r="AJ140" s="128" t="e">
        <f>客服部最终提成计算表!$X142*0.15*0.8*0.05*'18年合同登记表'!AH181/'18年合同登记表'!$M181</f>
        <v>#VALUE!</v>
      </c>
      <c r="AK140" s="128" t="e">
        <f>客服部最终提成计算表!$X142*0.15*0.8*0.02*'18年合同登记表'!AH181/'18年合同登记表'!$M181</f>
        <v>#VALUE!</v>
      </c>
      <c r="AL140" s="128" t="e">
        <f>客服部最终提成计算表!$X142*0.15*0.8*0.85*'18年合同登记表'!AJ181/'18年合同登记表'!$M181</f>
        <v>#VALUE!</v>
      </c>
      <c r="AM140" s="128" t="e">
        <f>客服部最终提成计算表!$X142*0.15*0.8*0.08*'18年合同登记表'!AJ181/'18年合同登记表'!$M181</f>
        <v>#VALUE!</v>
      </c>
      <c r="AN140" s="128" t="e">
        <f>客服部最终提成计算表!$X142*0.15*0.8*0.05*'18年合同登记表'!AJ181/'18年合同登记表'!$M181</f>
        <v>#VALUE!</v>
      </c>
      <c r="AO140" s="128" t="e">
        <f>客服部最终提成计算表!$X142*0.15*0.8*0.02*'18年合同登记表'!AJ181/'18年合同登记表'!$M181</f>
        <v>#VALUE!</v>
      </c>
      <c r="AP140" s="128" t="e">
        <f>客服部最终提成计算表!$X142*0.15*0.8*0.85*'18年合同登记表'!AL181/'18年合同登记表'!$M181</f>
        <v>#VALUE!</v>
      </c>
      <c r="AQ140" s="128" t="e">
        <f>客服部最终提成计算表!$X142*0.15*0.8*0.08*'18年合同登记表'!AL181/'18年合同登记表'!$M181</f>
        <v>#VALUE!</v>
      </c>
      <c r="AR140" s="128" t="e">
        <f>客服部最终提成计算表!$X142*0.15*0.8*0.05*'18年合同登记表'!AL181/'18年合同登记表'!$M181</f>
        <v>#VALUE!</v>
      </c>
      <c r="AS140" s="128" t="e">
        <f>客服部最终提成计算表!$X142*0.15*0.8*0.02*'18年合同登记表'!AL181/'18年合同登记表'!$M181</f>
        <v>#VALUE!</v>
      </c>
      <c r="AT140" s="128" t="e">
        <f>客服部最终提成计算表!$X142*0.15*0.8*0.85*'18年合同登记表'!AN181/'18年合同登记表'!$M181</f>
        <v>#VALUE!</v>
      </c>
      <c r="AU140" s="128" t="e">
        <f>客服部最终提成计算表!$X142*0.15*0.8*0.08*'18年合同登记表'!AN181/'18年合同登记表'!$M181</f>
        <v>#VALUE!</v>
      </c>
      <c r="AV140" s="128" t="e">
        <f>客服部最终提成计算表!$X142*0.15*0.8*0.05*'18年合同登记表'!AN181/'18年合同登记表'!$M181</f>
        <v>#VALUE!</v>
      </c>
      <c r="AW140" s="128" t="e">
        <f>客服部最终提成计算表!$X142*0.15*0.8*0.02*'18年合同登记表'!AN181/'18年合同登记表'!$M181</f>
        <v>#VALUE!</v>
      </c>
      <c r="AX140" s="128" t="e">
        <f>客服部最终提成计算表!$X142*0.15*0.8*0.85*'18年合同登记表'!AP181/'18年合同登记表'!$M181</f>
        <v>#VALUE!</v>
      </c>
      <c r="AY140" s="128" t="e">
        <f>客服部最终提成计算表!$X142*0.15*0.8*0.08*'18年合同登记表'!AP181/'18年合同登记表'!$M181</f>
        <v>#VALUE!</v>
      </c>
      <c r="AZ140" s="128" t="e">
        <f>客服部最终提成计算表!$X142*0.15*0.8*0.05*'18年合同登记表'!AP181/'18年合同登记表'!$M181</f>
        <v>#VALUE!</v>
      </c>
      <c r="BA140" s="132" t="e">
        <f>客服部最终提成计算表!$X142*0.15*0.8*0.02*'18年合同登记表'!AP181/'18年合同登记表'!$M181</f>
        <v>#VALUE!</v>
      </c>
    </row>
    <row r="141" s="104" customFormat="1" ht="14.25" spans="1:53">
      <c r="A141" s="123" t="s">
        <v>995</v>
      </c>
      <c r="B141" s="124">
        <f>'18年合同登记表'!F182</f>
        <v>0</v>
      </c>
      <c r="C141" s="125">
        <f>'18年合同登记表'!H182</f>
        <v>0</v>
      </c>
      <c r="D141" s="125">
        <f>'18年合同登记表'!I182</f>
        <v>0</v>
      </c>
      <c r="E141" s="126">
        <f>'18年合同登记表'!L182</f>
        <v>0</v>
      </c>
      <c r="F141" s="127" t="e">
        <f>F131+F140</f>
        <v>#REF!</v>
      </c>
      <c r="G141" s="127" t="e">
        <f t="shared" ref="G141" si="425">G131+G140</f>
        <v>#REF!</v>
      </c>
      <c r="H141" s="127" t="e">
        <f t="shared" ref="H141" si="426">H131+H140</f>
        <v>#REF!</v>
      </c>
      <c r="I141" s="127" t="e">
        <f t="shared" ref="I141" si="427">I131+I140</f>
        <v>#REF!</v>
      </c>
      <c r="J141" s="127" t="e">
        <f t="shared" ref="J141" si="428">J131+J140</f>
        <v>#REF!</v>
      </c>
      <c r="K141" s="127" t="e">
        <f t="shared" ref="K141" si="429">K131+K140</f>
        <v>#REF!</v>
      </c>
      <c r="L141" s="127" t="e">
        <f t="shared" ref="L141" si="430">L131+L140</f>
        <v>#REF!</v>
      </c>
      <c r="M141" s="127" t="e">
        <f t="shared" ref="M141" si="431">M131+M140</f>
        <v>#REF!</v>
      </c>
      <c r="N141" s="127" t="e">
        <f t="shared" ref="N141" si="432">N131+N140</f>
        <v>#REF!</v>
      </c>
      <c r="O141" s="127" t="e">
        <f t="shared" ref="O141" si="433">O131+O140</f>
        <v>#REF!</v>
      </c>
      <c r="P141" s="127" t="e">
        <f t="shared" ref="P141" si="434">P131+P140</f>
        <v>#REF!</v>
      </c>
      <c r="Q141" s="127" t="e">
        <f t="shared" ref="Q141" si="435">Q131+Q140</f>
        <v>#REF!</v>
      </c>
      <c r="R141" s="127" t="e">
        <f t="shared" ref="R141" si="436">R131+R140</f>
        <v>#REF!</v>
      </c>
      <c r="S141" s="127" t="e">
        <f t="shared" ref="S141" si="437">S131+S140</f>
        <v>#REF!</v>
      </c>
      <c r="T141" s="127" t="e">
        <f t="shared" ref="T141" si="438">T131+T140</f>
        <v>#REF!</v>
      </c>
      <c r="U141" s="127" t="e">
        <f t="shared" ref="U141" si="439">U131+U140</f>
        <v>#REF!</v>
      </c>
      <c r="V141" s="127" t="e">
        <f t="shared" ref="V141" si="440">V131+V140</f>
        <v>#REF!</v>
      </c>
      <c r="W141" s="127" t="e">
        <f t="shared" ref="W141" si="441">W131+W140</f>
        <v>#REF!</v>
      </c>
      <c r="X141" s="127" t="e">
        <f t="shared" ref="X141" si="442">X131+X140</f>
        <v>#REF!</v>
      </c>
      <c r="Y141" s="127" t="e">
        <f t="shared" ref="Y141" si="443">Y131+Y140</f>
        <v>#REF!</v>
      </c>
      <c r="Z141" s="127" t="e">
        <f t="shared" ref="Z141" si="444">Z131+Z140</f>
        <v>#REF!</v>
      </c>
      <c r="AA141" s="127" t="e">
        <f t="shared" ref="AA141" si="445">AA131+AA140</f>
        <v>#REF!</v>
      </c>
      <c r="AB141" s="127" t="e">
        <f t="shared" ref="AB141" si="446">AB131+AB140</f>
        <v>#REF!</v>
      </c>
      <c r="AC141" s="127" t="e">
        <f t="shared" ref="AC141" si="447">AC131+AC140</f>
        <v>#REF!</v>
      </c>
      <c r="AD141" s="127" t="e">
        <f t="shared" ref="AD141" si="448">AD131+AD140</f>
        <v>#REF!</v>
      </c>
      <c r="AE141" s="127" t="e">
        <f t="shared" ref="AE141" si="449">AE131+AE140</f>
        <v>#REF!</v>
      </c>
      <c r="AF141" s="127" t="e">
        <f t="shared" ref="AF141" si="450">AF131+AF140</f>
        <v>#REF!</v>
      </c>
      <c r="AG141" s="127" t="e">
        <f t="shared" ref="AG141" si="451">AG131+AG140</f>
        <v>#REF!</v>
      </c>
      <c r="AH141" s="127" t="e">
        <f t="shared" ref="AH141" si="452">AH131+AH140</f>
        <v>#REF!</v>
      </c>
      <c r="AI141" s="127" t="e">
        <f t="shared" ref="AI141" si="453">AI131+AI140</f>
        <v>#REF!</v>
      </c>
      <c r="AJ141" s="127" t="e">
        <f t="shared" ref="AJ141" si="454">AJ131+AJ140</f>
        <v>#REF!</v>
      </c>
      <c r="AK141" s="127" t="e">
        <f t="shared" ref="AK141" si="455">AK131+AK140</f>
        <v>#REF!</v>
      </c>
      <c r="AL141" s="127" t="e">
        <f t="shared" ref="AL141" si="456">AL131+AL140</f>
        <v>#REF!</v>
      </c>
      <c r="AM141" s="127" t="e">
        <f t="shared" ref="AM141" si="457">AM131+AM140</f>
        <v>#REF!</v>
      </c>
      <c r="AN141" s="127" t="e">
        <f t="shared" ref="AN141" si="458">AN131+AN140</f>
        <v>#REF!</v>
      </c>
      <c r="AO141" s="127" t="e">
        <f t="shared" ref="AO141" si="459">AO131+AO140</f>
        <v>#REF!</v>
      </c>
      <c r="AP141" s="127" t="e">
        <f t="shared" ref="AP141" si="460">AP131+AP140</f>
        <v>#REF!</v>
      </c>
      <c r="AQ141" s="127" t="e">
        <f t="shared" ref="AQ141" si="461">AQ131+AQ140</f>
        <v>#REF!</v>
      </c>
      <c r="AR141" s="127" t="e">
        <f t="shared" ref="AR141" si="462">AR131+AR140</f>
        <v>#REF!</v>
      </c>
      <c r="AS141" s="127" t="e">
        <f t="shared" ref="AS141" si="463">AS131+AS140</f>
        <v>#REF!</v>
      </c>
      <c r="AT141" s="127" t="e">
        <f t="shared" ref="AT141" si="464">AT131+AT140</f>
        <v>#REF!</v>
      </c>
      <c r="AU141" s="127" t="e">
        <f t="shared" ref="AU141" si="465">AU131+AU140</f>
        <v>#REF!</v>
      </c>
      <c r="AV141" s="127" t="e">
        <f t="shared" ref="AV141" si="466">AV131+AV140</f>
        <v>#REF!</v>
      </c>
      <c r="AW141" s="127" t="e">
        <f t="shared" ref="AW141" si="467">AW131+AW140</f>
        <v>#REF!</v>
      </c>
      <c r="AX141" s="127" t="e">
        <f t="shared" ref="AX141" si="468">AX131+AX140</f>
        <v>#REF!</v>
      </c>
      <c r="AY141" s="127" t="e">
        <f t="shared" ref="AY141" si="469">AY131+AY140</f>
        <v>#REF!</v>
      </c>
      <c r="AZ141" s="127" t="e">
        <f t="shared" ref="AZ141" si="470">AZ131+AZ140</f>
        <v>#REF!</v>
      </c>
      <c r="BA141" s="127" t="e">
        <f t="shared" ref="BA141" si="471">BA131+BA140</f>
        <v>#REF!</v>
      </c>
    </row>
    <row r="142" ht="14.25" spans="1:53">
      <c r="A142" s="133" t="s">
        <v>57</v>
      </c>
      <c r="B142" s="134"/>
      <c r="C142" s="134"/>
      <c r="D142" s="134"/>
      <c r="E142" s="135"/>
      <c r="F142" s="136" t="e">
        <f>F141</f>
        <v>#REF!</v>
      </c>
      <c r="G142" s="136" t="e">
        <f t="shared" ref="G142:BA142" si="472">G141</f>
        <v>#REF!</v>
      </c>
      <c r="H142" s="136" t="e">
        <f t="shared" si="472"/>
        <v>#REF!</v>
      </c>
      <c r="I142" s="136" t="e">
        <f t="shared" si="472"/>
        <v>#REF!</v>
      </c>
      <c r="J142" s="136" t="e">
        <f t="shared" si="472"/>
        <v>#REF!</v>
      </c>
      <c r="K142" s="136" t="e">
        <f t="shared" si="472"/>
        <v>#REF!</v>
      </c>
      <c r="L142" s="136" t="e">
        <f t="shared" si="472"/>
        <v>#REF!</v>
      </c>
      <c r="M142" s="136" t="e">
        <f t="shared" si="472"/>
        <v>#REF!</v>
      </c>
      <c r="N142" s="136" t="e">
        <f t="shared" si="472"/>
        <v>#REF!</v>
      </c>
      <c r="O142" s="136" t="e">
        <f t="shared" si="472"/>
        <v>#REF!</v>
      </c>
      <c r="P142" s="136" t="e">
        <f t="shared" si="472"/>
        <v>#REF!</v>
      </c>
      <c r="Q142" s="136" t="e">
        <f t="shared" si="472"/>
        <v>#REF!</v>
      </c>
      <c r="R142" s="136" t="e">
        <f t="shared" si="472"/>
        <v>#REF!</v>
      </c>
      <c r="S142" s="136" t="e">
        <f t="shared" si="472"/>
        <v>#REF!</v>
      </c>
      <c r="T142" s="136" t="e">
        <f t="shared" si="472"/>
        <v>#REF!</v>
      </c>
      <c r="U142" s="136" t="e">
        <f t="shared" si="472"/>
        <v>#REF!</v>
      </c>
      <c r="V142" s="136" t="e">
        <f t="shared" si="472"/>
        <v>#REF!</v>
      </c>
      <c r="W142" s="136" t="e">
        <f t="shared" si="472"/>
        <v>#REF!</v>
      </c>
      <c r="X142" s="136" t="e">
        <f t="shared" si="472"/>
        <v>#REF!</v>
      </c>
      <c r="Y142" s="136" t="e">
        <f t="shared" si="472"/>
        <v>#REF!</v>
      </c>
      <c r="Z142" s="136" t="e">
        <f t="shared" si="472"/>
        <v>#REF!</v>
      </c>
      <c r="AA142" s="136" t="e">
        <f t="shared" si="472"/>
        <v>#REF!</v>
      </c>
      <c r="AB142" s="136" t="e">
        <f t="shared" si="472"/>
        <v>#REF!</v>
      </c>
      <c r="AC142" s="136" t="e">
        <f t="shared" si="472"/>
        <v>#REF!</v>
      </c>
      <c r="AD142" s="136" t="e">
        <f t="shared" si="472"/>
        <v>#REF!</v>
      </c>
      <c r="AE142" s="136" t="e">
        <f t="shared" si="472"/>
        <v>#REF!</v>
      </c>
      <c r="AF142" s="136" t="e">
        <f t="shared" si="472"/>
        <v>#REF!</v>
      </c>
      <c r="AG142" s="136" t="e">
        <f t="shared" si="472"/>
        <v>#REF!</v>
      </c>
      <c r="AH142" s="136" t="e">
        <f t="shared" si="472"/>
        <v>#REF!</v>
      </c>
      <c r="AI142" s="136" t="e">
        <f t="shared" si="472"/>
        <v>#REF!</v>
      </c>
      <c r="AJ142" s="136" t="e">
        <f t="shared" si="472"/>
        <v>#REF!</v>
      </c>
      <c r="AK142" s="136" t="e">
        <f t="shared" si="472"/>
        <v>#REF!</v>
      </c>
      <c r="AL142" s="136" t="e">
        <f t="shared" si="472"/>
        <v>#REF!</v>
      </c>
      <c r="AM142" s="136" t="e">
        <f t="shared" si="472"/>
        <v>#REF!</v>
      </c>
      <c r="AN142" s="136" t="e">
        <f t="shared" si="472"/>
        <v>#REF!</v>
      </c>
      <c r="AO142" s="136" t="e">
        <f t="shared" si="472"/>
        <v>#REF!</v>
      </c>
      <c r="AP142" s="136" t="e">
        <f t="shared" si="472"/>
        <v>#REF!</v>
      </c>
      <c r="AQ142" s="136" t="e">
        <f t="shared" si="472"/>
        <v>#REF!</v>
      </c>
      <c r="AR142" s="136" t="e">
        <f t="shared" si="472"/>
        <v>#REF!</v>
      </c>
      <c r="AS142" s="136" t="e">
        <f t="shared" si="472"/>
        <v>#REF!</v>
      </c>
      <c r="AT142" s="136" t="e">
        <f t="shared" si="472"/>
        <v>#REF!</v>
      </c>
      <c r="AU142" s="136" t="e">
        <f t="shared" si="472"/>
        <v>#REF!</v>
      </c>
      <c r="AV142" s="136" t="e">
        <f t="shared" si="472"/>
        <v>#REF!</v>
      </c>
      <c r="AW142" s="136" t="e">
        <f t="shared" si="472"/>
        <v>#REF!</v>
      </c>
      <c r="AX142" s="136" t="e">
        <f t="shared" si="472"/>
        <v>#REF!</v>
      </c>
      <c r="AY142" s="136" t="e">
        <f t="shared" si="472"/>
        <v>#REF!</v>
      </c>
      <c r="AZ142" s="136" t="e">
        <f t="shared" si="472"/>
        <v>#REF!</v>
      </c>
      <c r="BA142" s="136" t="e">
        <f t="shared" si="472"/>
        <v>#REF!</v>
      </c>
    </row>
  </sheetData>
  <mergeCells count="18">
    <mergeCell ref="A1:E1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41"/>
  <sheetViews>
    <sheetView workbookViewId="0">
      <selection activeCell="D21" sqref="D21"/>
    </sheetView>
  </sheetViews>
  <sheetFormatPr defaultColWidth="9" defaultRowHeight="13.5"/>
  <cols>
    <col min="1" max="1" width="9" style="89"/>
    <col min="2" max="59" width="15.625" style="89" customWidth="1"/>
    <col min="60" max="16384" width="9" style="89"/>
  </cols>
  <sheetData>
    <row r="1" s="89" customFormat="1" ht="18.75" spans="1:59">
      <c r="A1" s="91" t="s">
        <v>996</v>
      </c>
      <c r="B1" s="92" t="s">
        <v>997</v>
      </c>
      <c r="C1" s="93" t="s">
        <v>998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 t="s">
        <v>999</v>
      </c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 t="s">
        <v>1000</v>
      </c>
      <c r="AW1" s="93"/>
      <c r="AX1" s="93"/>
      <c r="AY1" s="93"/>
      <c r="AZ1" s="93"/>
      <c r="BA1" s="93"/>
      <c r="BB1" s="93"/>
      <c r="BC1" s="93"/>
      <c r="BD1" s="93"/>
      <c r="BE1" s="93"/>
      <c r="BF1" s="93" t="s">
        <v>1001</v>
      </c>
      <c r="BG1" s="93"/>
    </row>
    <row r="2" s="89" customFormat="1" ht="14.25" spans="1:59">
      <c r="A2" s="91"/>
      <c r="B2" s="92" t="s">
        <v>969</v>
      </c>
      <c r="C2" s="94">
        <v>1</v>
      </c>
      <c r="D2" s="94">
        <v>2</v>
      </c>
      <c r="E2" s="94">
        <v>3</v>
      </c>
      <c r="F2" s="94">
        <v>4</v>
      </c>
      <c r="G2" s="94">
        <v>5</v>
      </c>
      <c r="H2" s="94">
        <v>6</v>
      </c>
      <c r="I2" s="94">
        <v>7</v>
      </c>
      <c r="J2" s="94">
        <v>8</v>
      </c>
      <c r="K2" s="94">
        <v>9</v>
      </c>
      <c r="L2" s="94">
        <v>10</v>
      </c>
      <c r="M2" s="94">
        <v>11</v>
      </c>
      <c r="N2" s="94">
        <v>12</v>
      </c>
      <c r="O2" s="94">
        <v>13</v>
      </c>
      <c r="P2" s="94">
        <v>14</v>
      </c>
      <c r="Q2" s="94">
        <v>15</v>
      </c>
      <c r="R2" s="94">
        <v>16</v>
      </c>
      <c r="S2" s="94">
        <v>17</v>
      </c>
      <c r="T2" s="94">
        <v>18</v>
      </c>
      <c r="U2" s="94">
        <v>19</v>
      </c>
      <c r="V2" s="94">
        <v>20</v>
      </c>
      <c r="W2" s="94">
        <v>21</v>
      </c>
      <c r="X2" s="94">
        <v>22</v>
      </c>
      <c r="Y2" s="94">
        <v>23</v>
      </c>
      <c r="Z2" s="94">
        <v>24</v>
      </c>
      <c r="AA2" s="94">
        <v>25</v>
      </c>
      <c r="AB2" s="94">
        <v>26</v>
      </c>
      <c r="AC2" s="94">
        <v>27</v>
      </c>
      <c r="AD2" s="94">
        <v>28</v>
      </c>
      <c r="AE2" s="94">
        <v>29</v>
      </c>
      <c r="AF2" s="94">
        <v>30</v>
      </c>
      <c r="AG2" s="94">
        <v>31</v>
      </c>
      <c r="AH2" s="94">
        <v>32</v>
      </c>
      <c r="AI2" s="94">
        <v>33</v>
      </c>
      <c r="AJ2" s="94">
        <v>34</v>
      </c>
      <c r="AK2" s="94">
        <v>35</v>
      </c>
      <c r="AL2" s="94">
        <v>36</v>
      </c>
      <c r="AM2" s="94">
        <v>37</v>
      </c>
      <c r="AN2" s="94">
        <v>38</v>
      </c>
      <c r="AO2" s="94">
        <v>39</v>
      </c>
      <c r="AP2" s="94">
        <v>40</v>
      </c>
      <c r="AQ2" s="94">
        <v>41</v>
      </c>
      <c r="AR2" s="94">
        <v>42</v>
      </c>
      <c r="AS2" s="94">
        <v>43</v>
      </c>
      <c r="AT2" s="94">
        <v>44</v>
      </c>
      <c r="AU2" s="94">
        <v>45</v>
      </c>
      <c r="AV2" s="94">
        <v>46</v>
      </c>
      <c r="AW2" s="94">
        <v>47</v>
      </c>
      <c r="AX2" s="94">
        <v>48</v>
      </c>
      <c r="AY2" s="94">
        <v>49</v>
      </c>
      <c r="AZ2" s="94">
        <v>50</v>
      </c>
      <c r="BA2" s="94">
        <v>51</v>
      </c>
      <c r="BB2" s="94">
        <v>52</v>
      </c>
      <c r="BC2" s="94">
        <v>53</v>
      </c>
      <c r="BD2" s="94">
        <v>54</v>
      </c>
      <c r="BE2" s="94">
        <v>55</v>
      </c>
      <c r="BF2" s="94">
        <v>56</v>
      </c>
      <c r="BG2" s="94">
        <v>57</v>
      </c>
    </row>
    <row r="3" s="90" customFormat="1" ht="27" spans="1:59">
      <c r="A3" s="91"/>
      <c r="B3" s="92" t="s">
        <v>5</v>
      </c>
      <c r="C3" s="95" t="s">
        <v>1002</v>
      </c>
      <c r="D3" s="95" t="s">
        <v>1003</v>
      </c>
      <c r="E3" s="95" t="s">
        <v>255</v>
      </c>
      <c r="F3" s="95" t="s">
        <v>309</v>
      </c>
      <c r="G3" s="95" t="s">
        <v>414</v>
      </c>
      <c r="H3" s="95" t="s">
        <v>437</v>
      </c>
      <c r="I3" s="95" t="s">
        <v>421</v>
      </c>
      <c r="J3" s="95" t="s">
        <v>1004</v>
      </c>
      <c r="K3" s="95" t="s">
        <v>1005</v>
      </c>
      <c r="L3" s="95" t="s">
        <v>236</v>
      </c>
      <c r="M3" s="95" t="s">
        <v>733</v>
      </c>
      <c r="N3" s="95" t="s">
        <v>371</v>
      </c>
      <c r="O3" s="95" t="s">
        <v>385</v>
      </c>
      <c r="P3" s="95" t="s">
        <v>859</v>
      </c>
      <c r="Q3" s="95" t="s">
        <v>1006</v>
      </c>
      <c r="R3" s="95" t="s">
        <v>1007</v>
      </c>
      <c r="S3" s="95" t="s">
        <v>680</v>
      </c>
      <c r="T3" s="95" t="s">
        <v>652</v>
      </c>
      <c r="U3" s="95" t="s">
        <v>174</v>
      </c>
      <c r="V3" s="95" t="s">
        <v>527</v>
      </c>
      <c r="W3" s="95" t="s">
        <v>1008</v>
      </c>
      <c r="X3" s="95" t="s">
        <v>1009</v>
      </c>
      <c r="Y3" s="95" t="s">
        <v>637</v>
      </c>
      <c r="Z3" s="95" t="s">
        <v>760</v>
      </c>
      <c r="AA3" s="95" t="s">
        <v>1010</v>
      </c>
      <c r="AB3" s="100" t="s">
        <v>1011</v>
      </c>
      <c r="AC3" s="95" t="s">
        <v>1012</v>
      </c>
      <c r="AD3" s="95" t="s">
        <v>1013</v>
      </c>
      <c r="AE3" s="95" t="s">
        <v>449</v>
      </c>
      <c r="AF3" s="95" t="s">
        <v>1014</v>
      </c>
      <c r="AG3" s="95" t="s">
        <v>543</v>
      </c>
      <c r="AH3" s="95" t="s">
        <v>644</v>
      </c>
      <c r="AI3" s="95" t="s">
        <v>1015</v>
      </c>
      <c r="AJ3" s="95" t="s">
        <v>765</v>
      </c>
      <c r="AK3" s="95" t="s">
        <v>1016</v>
      </c>
      <c r="AL3" s="95" t="s">
        <v>866</v>
      </c>
      <c r="AM3" s="95" t="s">
        <v>472</v>
      </c>
      <c r="AN3" s="95" t="s">
        <v>1017</v>
      </c>
      <c r="AO3" s="95" t="s">
        <v>737</v>
      </c>
      <c r="AP3" s="95" t="s">
        <v>116</v>
      </c>
      <c r="AQ3" s="95" t="s">
        <v>1018</v>
      </c>
      <c r="AR3" s="95" t="s">
        <v>805</v>
      </c>
      <c r="AS3" s="95" t="s">
        <v>1019</v>
      </c>
      <c r="AT3" s="95" t="s">
        <v>1020</v>
      </c>
      <c r="AU3" s="95" t="s">
        <v>1021</v>
      </c>
      <c r="AV3" s="95" t="s">
        <v>607</v>
      </c>
      <c r="AW3" s="95" t="s">
        <v>92</v>
      </c>
      <c r="AX3" s="95" t="s">
        <v>1022</v>
      </c>
      <c r="AY3" s="95" t="s">
        <v>1023</v>
      </c>
      <c r="AZ3" s="95" t="s">
        <v>345</v>
      </c>
      <c r="BA3" s="95" t="s">
        <v>1024</v>
      </c>
      <c r="BB3" s="95" t="s">
        <v>1025</v>
      </c>
      <c r="BC3" s="95" t="s">
        <v>463</v>
      </c>
      <c r="BD3" s="95" t="s">
        <v>1026</v>
      </c>
      <c r="BE3" s="95" t="s">
        <v>1027</v>
      </c>
      <c r="BF3" s="103" t="s">
        <v>1028</v>
      </c>
      <c r="BG3" s="103" t="s">
        <v>147</v>
      </c>
    </row>
    <row r="4" s="90" customFormat="1" ht="14.25" spans="1:59">
      <c r="A4" s="91"/>
      <c r="B4" s="92" t="s">
        <v>1029</v>
      </c>
      <c r="C4" s="96"/>
      <c r="D4" s="96"/>
      <c r="E4" s="96"/>
      <c r="F4" s="96"/>
      <c r="G4" s="96"/>
      <c r="H4" s="96"/>
      <c r="I4" s="98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101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9"/>
      <c r="BG4" s="99"/>
    </row>
    <row r="5" s="90" customFormat="1" ht="31.5" spans="1:59">
      <c r="A5" s="91"/>
      <c r="B5" s="92" t="s">
        <v>1030</v>
      </c>
      <c r="C5" s="96" t="s">
        <v>1031</v>
      </c>
      <c r="D5" s="96" t="s">
        <v>1032</v>
      </c>
      <c r="E5" s="96" t="s">
        <v>1033</v>
      </c>
      <c r="F5" s="96" t="s">
        <v>1034</v>
      </c>
      <c r="G5" s="96" t="s">
        <v>1035</v>
      </c>
      <c r="H5" s="96" t="s">
        <v>1036</v>
      </c>
      <c r="I5" s="98" t="s">
        <v>1037</v>
      </c>
      <c r="J5" s="96" t="s">
        <v>1038</v>
      </c>
      <c r="K5" s="96" t="s">
        <v>1039</v>
      </c>
      <c r="L5" s="96" t="s">
        <v>1040</v>
      </c>
      <c r="M5" s="96" t="s">
        <v>1041</v>
      </c>
      <c r="N5" s="96" t="s">
        <v>1042</v>
      </c>
      <c r="O5" s="96" t="s">
        <v>1043</v>
      </c>
      <c r="P5" s="96" t="s">
        <v>1044</v>
      </c>
      <c r="Q5" s="96" t="s">
        <v>1045</v>
      </c>
      <c r="R5" s="96" t="s">
        <v>1046</v>
      </c>
      <c r="S5" s="96" t="s">
        <v>1047</v>
      </c>
      <c r="T5" s="96" t="s">
        <v>1048</v>
      </c>
      <c r="U5" s="96" t="s">
        <v>1049</v>
      </c>
      <c r="V5" s="96" t="s">
        <v>1050</v>
      </c>
      <c r="W5" s="96" t="s">
        <v>1051</v>
      </c>
      <c r="X5" s="96" t="s">
        <v>1052</v>
      </c>
      <c r="Y5" s="96" t="s">
        <v>1053</v>
      </c>
      <c r="Z5" s="96" t="s">
        <v>1054</v>
      </c>
      <c r="AA5" s="96" t="s">
        <v>1055</v>
      </c>
      <c r="AB5" s="101" t="s">
        <v>1056</v>
      </c>
      <c r="AC5" s="96" t="s">
        <v>1057</v>
      </c>
      <c r="AD5" s="96" t="s">
        <v>1058</v>
      </c>
      <c r="AE5" s="96" t="s">
        <v>1059</v>
      </c>
      <c r="AF5" s="96" t="s">
        <v>1060</v>
      </c>
      <c r="AG5" s="96" t="s">
        <v>1061</v>
      </c>
      <c r="AH5" s="96" t="s">
        <v>1062</v>
      </c>
      <c r="AI5" s="96" t="s">
        <v>1063</v>
      </c>
      <c r="AJ5" s="96" t="s">
        <v>1064</v>
      </c>
      <c r="AK5" s="96" t="s">
        <v>1065</v>
      </c>
      <c r="AL5" s="96" t="s">
        <v>1066</v>
      </c>
      <c r="AM5" s="96" t="s">
        <v>1067</v>
      </c>
      <c r="AN5" s="96" t="s">
        <v>1068</v>
      </c>
      <c r="AO5" s="96" t="s">
        <v>1069</v>
      </c>
      <c r="AP5" s="96" t="s">
        <v>1070</v>
      </c>
      <c r="AQ5" s="96" t="s">
        <v>1071</v>
      </c>
      <c r="AR5" s="96" t="s">
        <v>1072</v>
      </c>
      <c r="AS5" s="96" t="s">
        <v>1073</v>
      </c>
      <c r="AT5" s="96"/>
      <c r="AU5" s="102" t="s">
        <v>1074</v>
      </c>
      <c r="AV5" s="96" t="s">
        <v>1075</v>
      </c>
      <c r="AW5" s="96"/>
      <c r="AX5" s="96" t="s">
        <v>1076</v>
      </c>
      <c r="AY5" s="96" t="s">
        <v>1077</v>
      </c>
      <c r="AZ5" s="96" t="s">
        <v>1078</v>
      </c>
      <c r="BA5" s="102" t="s">
        <v>1079</v>
      </c>
      <c r="BB5" s="96" t="s">
        <v>1080</v>
      </c>
      <c r="BC5" s="96" t="s">
        <v>1081</v>
      </c>
      <c r="BD5" s="96" t="s">
        <v>1082</v>
      </c>
      <c r="BE5" s="96" t="s">
        <v>1083</v>
      </c>
      <c r="BF5" s="99" t="s">
        <v>1084</v>
      </c>
      <c r="BG5" s="99" t="s">
        <v>1085</v>
      </c>
    </row>
    <row r="6" s="89" customFormat="1" spans="1:59">
      <c r="A6" s="91"/>
      <c r="B6" s="97" t="s">
        <v>1086</v>
      </c>
      <c r="C6" s="96" t="s">
        <v>1087</v>
      </c>
      <c r="D6" s="96"/>
      <c r="E6" s="96"/>
      <c r="F6" s="96"/>
      <c r="G6" s="96"/>
      <c r="H6" s="96" t="s">
        <v>1087</v>
      </c>
      <c r="I6" s="98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 t="s">
        <v>1087</v>
      </c>
      <c r="X6" s="99" t="s">
        <v>1087</v>
      </c>
      <c r="Y6" s="99"/>
      <c r="Z6" s="99"/>
      <c r="AA6" s="99"/>
      <c r="AB6" s="99" t="s">
        <v>1087</v>
      </c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 t="s">
        <v>1087</v>
      </c>
      <c r="AW6" s="99"/>
      <c r="AX6" s="99"/>
      <c r="AY6" s="99"/>
      <c r="AZ6" s="99" t="s">
        <v>1087</v>
      </c>
      <c r="BA6" s="99" t="s">
        <v>1087</v>
      </c>
      <c r="BB6" s="99" t="s">
        <v>1087</v>
      </c>
      <c r="BC6" s="99"/>
      <c r="BD6" s="99" t="s">
        <v>1087</v>
      </c>
      <c r="BE6" s="99" t="s">
        <v>1087</v>
      </c>
      <c r="BF6" s="99"/>
      <c r="BG6" s="99"/>
    </row>
    <row r="7" s="89" customFormat="1" spans="1:59">
      <c r="A7" s="91"/>
      <c r="B7" s="97" t="s">
        <v>1088</v>
      </c>
      <c r="C7" s="96" t="s">
        <v>1087</v>
      </c>
      <c r="D7" s="96"/>
      <c r="E7" s="96"/>
      <c r="F7" s="96"/>
      <c r="G7" s="96"/>
      <c r="H7" s="96" t="s">
        <v>1087</v>
      </c>
      <c r="I7" s="98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 t="s">
        <v>1087</v>
      </c>
      <c r="X7" s="99" t="s">
        <v>1087</v>
      </c>
      <c r="Y7" s="99"/>
      <c r="Z7" s="99"/>
      <c r="AA7" s="99"/>
      <c r="AB7" s="99" t="s">
        <v>1087</v>
      </c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S7" s="99"/>
      <c r="AT7" s="99"/>
      <c r="AU7" s="99"/>
      <c r="AV7" s="99" t="s">
        <v>1087</v>
      </c>
      <c r="AW7" s="99"/>
      <c r="AX7" s="99"/>
      <c r="AY7" s="99"/>
      <c r="AZ7" s="99" t="s">
        <v>1087</v>
      </c>
      <c r="BA7" s="99" t="s">
        <v>1087</v>
      </c>
      <c r="BB7" s="99" t="s">
        <v>1087</v>
      </c>
      <c r="BC7" s="99"/>
      <c r="BD7" s="99" t="s">
        <v>1087</v>
      </c>
      <c r="BE7" s="99" t="s">
        <v>1087</v>
      </c>
      <c r="BF7" s="99"/>
      <c r="BG7" s="99"/>
    </row>
    <row r="8" s="89" customFormat="1" spans="1:59">
      <c r="A8" s="91"/>
      <c r="B8" s="97" t="s">
        <v>1089</v>
      </c>
      <c r="C8" s="96" t="s">
        <v>1087</v>
      </c>
      <c r="D8" s="96"/>
      <c r="E8" s="96"/>
      <c r="F8" s="96"/>
      <c r="G8" s="96"/>
      <c r="H8" s="96" t="s">
        <v>1087</v>
      </c>
      <c r="I8" s="98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 t="s">
        <v>1087</v>
      </c>
      <c r="X8" s="99" t="s">
        <v>1087</v>
      </c>
      <c r="Y8" s="99"/>
      <c r="Z8" s="99"/>
      <c r="AA8" s="99"/>
      <c r="AB8" s="99" t="s">
        <v>1087</v>
      </c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T8" s="99"/>
      <c r="AU8" s="99"/>
      <c r="AV8" s="99" t="s">
        <v>1087</v>
      </c>
      <c r="AW8" s="99"/>
      <c r="AX8" s="99"/>
      <c r="AY8" s="99"/>
      <c r="AZ8" s="99" t="s">
        <v>1087</v>
      </c>
      <c r="BA8" s="99" t="s">
        <v>1087</v>
      </c>
      <c r="BB8" s="99" t="s">
        <v>1087</v>
      </c>
      <c r="BC8" s="99"/>
      <c r="BD8" s="99" t="s">
        <v>1087</v>
      </c>
      <c r="BE8" s="99" t="s">
        <v>1087</v>
      </c>
      <c r="BF8" s="99"/>
      <c r="BG8" s="99"/>
    </row>
    <row r="9" s="89" customFormat="1" spans="1:59">
      <c r="A9" s="91"/>
      <c r="B9" s="97" t="s">
        <v>1090</v>
      </c>
      <c r="C9" s="96" t="s">
        <v>1087</v>
      </c>
      <c r="D9" s="96"/>
      <c r="E9" s="96"/>
      <c r="F9" s="96"/>
      <c r="G9" s="96"/>
      <c r="H9" s="96" t="s">
        <v>1087</v>
      </c>
      <c r="I9" s="98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 t="s">
        <v>1087</v>
      </c>
      <c r="X9" s="99" t="s">
        <v>1087</v>
      </c>
      <c r="Y9" s="99"/>
      <c r="Z9" s="99"/>
      <c r="AA9" s="99"/>
      <c r="AB9" s="99" t="s">
        <v>1087</v>
      </c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 t="s">
        <v>1087</v>
      </c>
      <c r="AW9" s="99"/>
      <c r="AX9" s="99"/>
      <c r="AY9" s="99"/>
      <c r="AZ9" s="99" t="s">
        <v>1087</v>
      </c>
      <c r="BA9" s="99" t="s">
        <v>1087</v>
      </c>
      <c r="BB9" s="99" t="s">
        <v>1087</v>
      </c>
      <c r="BC9" s="99"/>
      <c r="BD9" s="99" t="s">
        <v>1087</v>
      </c>
      <c r="BE9" s="99" t="s">
        <v>1087</v>
      </c>
      <c r="BF9" s="99"/>
      <c r="BG9" s="99"/>
    </row>
    <row r="10" s="89" customFormat="1" spans="1:59">
      <c r="A10" s="91"/>
      <c r="B10" s="97" t="s">
        <v>1088</v>
      </c>
      <c r="C10" s="96" t="s">
        <v>1087</v>
      </c>
      <c r="D10" s="96"/>
      <c r="E10" s="96"/>
      <c r="F10" s="96"/>
      <c r="G10" s="96"/>
      <c r="H10" s="96" t="s">
        <v>1087</v>
      </c>
      <c r="I10" s="98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 t="s">
        <v>1087</v>
      </c>
      <c r="X10" s="99" t="s">
        <v>1087</v>
      </c>
      <c r="Y10" s="99"/>
      <c r="Z10" s="99"/>
      <c r="AA10" s="99"/>
      <c r="AB10" s="99" t="s">
        <v>1087</v>
      </c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 t="s">
        <v>1087</v>
      </c>
      <c r="AW10" s="99"/>
      <c r="AX10" s="99"/>
      <c r="AY10" s="99"/>
      <c r="AZ10" s="99" t="s">
        <v>1087</v>
      </c>
      <c r="BA10" s="99" t="s">
        <v>1087</v>
      </c>
      <c r="BB10" s="99" t="s">
        <v>1087</v>
      </c>
      <c r="BC10" s="99"/>
      <c r="BD10" s="99" t="s">
        <v>1087</v>
      </c>
      <c r="BE10" s="99" t="s">
        <v>1087</v>
      </c>
      <c r="BF10" s="99"/>
      <c r="BG10" s="99"/>
    </row>
    <row r="11" s="89" customFormat="1" spans="1:59">
      <c r="A11" s="91"/>
      <c r="B11" s="97" t="s">
        <v>1089</v>
      </c>
      <c r="C11" s="96" t="s">
        <v>1087</v>
      </c>
      <c r="D11" s="96"/>
      <c r="E11" s="96"/>
      <c r="F11" s="96"/>
      <c r="G11" s="96"/>
      <c r="H11" s="96" t="s">
        <v>1087</v>
      </c>
      <c r="I11" s="98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 t="s">
        <v>1087</v>
      </c>
      <c r="X11" s="99" t="s">
        <v>1087</v>
      </c>
      <c r="Y11" s="99"/>
      <c r="Z11" s="99"/>
      <c r="AA11" s="99"/>
      <c r="AB11" s="99" t="s">
        <v>1087</v>
      </c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 t="s">
        <v>1087</v>
      </c>
      <c r="AW11" s="99"/>
      <c r="AX11" s="99"/>
      <c r="AY11" s="99"/>
      <c r="AZ11" s="99" t="s">
        <v>1087</v>
      </c>
      <c r="BA11" s="99" t="s">
        <v>1087</v>
      </c>
      <c r="BB11" s="99" t="s">
        <v>1087</v>
      </c>
      <c r="BC11" s="99"/>
      <c r="BD11" s="99" t="s">
        <v>1087</v>
      </c>
      <c r="BE11" s="99" t="s">
        <v>1087</v>
      </c>
      <c r="BF11" s="99"/>
      <c r="BG11" s="99"/>
    </row>
    <row r="12" s="89" customFormat="1" spans="1:59">
      <c r="A12" s="91"/>
      <c r="B12" s="97" t="s">
        <v>1091</v>
      </c>
      <c r="C12" s="96" t="s">
        <v>1087</v>
      </c>
      <c r="D12" s="96"/>
      <c r="E12" s="96"/>
      <c r="F12" s="96"/>
      <c r="G12" s="96"/>
      <c r="H12" s="96" t="s">
        <v>1087</v>
      </c>
      <c r="I12" s="98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 t="s">
        <v>1087</v>
      </c>
      <c r="X12" s="99" t="s">
        <v>1087</v>
      </c>
      <c r="Y12" s="99"/>
      <c r="Z12" s="99"/>
      <c r="AA12" s="99"/>
      <c r="AB12" s="99" t="s">
        <v>1087</v>
      </c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 t="s">
        <v>1087</v>
      </c>
      <c r="AW12" s="99"/>
      <c r="AX12" s="99"/>
      <c r="AY12" s="99"/>
      <c r="AZ12" s="99" t="s">
        <v>1087</v>
      </c>
      <c r="BA12" s="99" t="s">
        <v>1087</v>
      </c>
      <c r="BB12" s="99" t="s">
        <v>1087</v>
      </c>
      <c r="BC12" s="99"/>
      <c r="BD12" s="99" t="s">
        <v>1087</v>
      </c>
      <c r="BE12" s="99" t="s">
        <v>1087</v>
      </c>
      <c r="BF12" s="99"/>
      <c r="BG12" s="99"/>
    </row>
    <row r="13" s="89" customFormat="1" spans="1:59">
      <c r="A13" s="91"/>
      <c r="B13" s="97" t="s">
        <v>1088</v>
      </c>
      <c r="C13" s="96" t="s">
        <v>1087</v>
      </c>
      <c r="D13" s="96"/>
      <c r="E13" s="96"/>
      <c r="F13" s="96"/>
      <c r="G13" s="96"/>
      <c r="H13" s="96" t="s">
        <v>1087</v>
      </c>
      <c r="I13" s="98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 t="s">
        <v>1087</v>
      </c>
      <c r="X13" s="99" t="s">
        <v>1087</v>
      </c>
      <c r="Y13" s="99"/>
      <c r="Z13" s="99"/>
      <c r="AA13" s="99"/>
      <c r="AB13" s="99" t="s">
        <v>1087</v>
      </c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 t="s">
        <v>1087</v>
      </c>
      <c r="AW13" s="99"/>
      <c r="AX13" s="99"/>
      <c r="AY13" s="99"/>
      <c r="AZ13" s="99" t="s">
        <v>1087</v>
      </c>
      <c r="BA13" s="99" t="s">
        <v>1087</v>
      </c>
      <c r="BB13" s="99" t="s">
        <v>1087</v>
      </c>
      <c r="BC13" s="99"/>
      <c r="BD13" s="99" t="s">
        <v>1087</v>
      </c>
      <c r="BE13" s="99" t="s">
        <v>1087</v>
      </c>
      <c r="BF13" s="99"/>
      <c r="BG13" s="99"/>
    </row>
    <row r="14" s="89" customFormat="1" spans="1:59">
      <c r="A14" s="91"/>
      <c r="B14" s="97" t="s">
        <v>1089</v>
      </c>
      <c r="C14" s="96" t="s">
        <v>1087</v>
      </c>
      <c r="D14" s="96"/>
      <c r="E14" s="96"/>
      <c r="F14" s="96"/>
      <c r="G14" s="96"/>
      <c r="H14" s="96" t="s">
        <v>1087</v>
      </c>
      <c r="I14" s="98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 t="s">
        <v>1087</v>
      </c>
      <c r="X14" s="99" t="s">
        <v>1087</v>
      </c>
      <c r="Y14" s="99"/>
      <c r="Z14" s="99"/>
      <c r="AA14" s="99"/>
      <c r="AB14" s="99" t="s">
        <v>1087</v>
      </c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 t="s">
        <v>1087</v>
      </c>
      <c r="AW14" s="99"/>
      <c r="AX14" s="99"/>
      <c r="AY14" s="99"/>
      <c r="AZ14" s="99" t="s">
        <v>1087</v>
      </c>
      <c r="BA14" s="99" t="s">
        <v>1087</v>
      </c>
      <c r="BB14" s="99" t="s">
        <v>1087</v>
      </c>
      <c r="BC14" s="99"/>
      <c r="BD14" s="99" t="s">
        <v>1087</v>
      </c>
      <c r="BE14" s="99" t="s">
        <v>1087</v>
      </c>
      <c r="BF14" s="99"/>
      <c r="BG14" s="99"/>
    </row>
    <row r="15" s="89" customFormat="1" spans="1:59">
      <c r="A15" s="91"/>
      <c r="B15" s="97" t="s">
        <v>1092</v>
      </c>
      <c r="C15" s="96" t="s">
        <v>1087</v>
      </c>
      <c r="D15" s="96" t="s">
        <v>1087</v>
      </c>
      <c r="E15" s="96" t="s">
        <v>1087</v>
      </c>
      <c r="F15" s="96"/>
      <c r="G15" s="96" t="s">
        <v>1087</v>
      </c>
      <c r="H15" s="96" t="s">
        <v>1087</v>
      </c>
      <c r="I15" s="98" t="s">
        <v>1087</v>
      </c>
      <c r="J15" s="99"/>
      <c r="K15" s="99" t="s">
        <v>1087</v>
      </c>
      <c r="L15" s="99" t="s">
        <v>1087</v>
      </c>
      <c r="M15" s="99" t="s">
        <v>1087</v>
      </c>
      <c r="N15" s="99" t="s">
        <v>1087</v>
      </c>
      <c r="O15" s="99" t="s">
        <v>1087</v>
      </c>
      <c r="P15" s="99" t="s">
        <v>1087</v>
      </c>
      <c r="Q15" s="99" t="s">
        <v>1087</v>
      </c>
      <c r="R15" s="99" t="s">
        <v>1087</v>
      </c>
      <c r="S15" s="99" t="s">
        <v>1087</v>
      </c>
      <c r="T15" s="99" t="s">
        <v>1087</v>
      </c>
      <c r="U15" s="99" t="s">
        <v>1087</v>
      </c>
      <c r="V15" s="99" t="s">
        <v>1087</v>
      </c>
      <c r="W15" s="99" t="s">
        <v>1087</v>
      </c>
      <c r="X15" s="99" t="s">
        <v>1087</v>
      </c>
      <c r="Y15" s="99"/>
      <c r="Z15" s="99"/>
      <c r="AA15" s="99"/>
      <c r="AB15" s="99" t="s">
        <v>1087</v>
      </c>
      <c r="AC15" s="99" t="s">
        <v>1087</v>
      </c>
      <c r="AD15" s="99" t="s">
        <v>1087</v>
      </c>
      <c r="AE15" s="99" t="s">
        <v>1087</v>
      </c>
      <c r="AF15" s="99"/>
      <c r="AG15" s="99"/>
      <c r="AH15" s="99"/>
      <c r="AI15" s="99"/>
      <c r="AJ15" s="99"/>
      <c r="AK15" s="99"/>
      <c r="AL15" s="99" t="s">
        <v>1087</v>
      </c>
      <c r="AM15" s="99"/>
      <c r="AN15" s="99"/>
      <c r="AO15" s="99"/>
      <c r="AP15" s="99"/>
      <c r="AQ15" s="99" t="s">
        <v>1087</v>
      </c>
      <c r="AR15" s="99" t="s">
        <v>1087</v>
      </c>
      <c r="AS15" s="99" t="s">
        <v>1087</v>
      </c>
      <c r="AT15" s="99"/>
      <c r="AU15" s="99"/>
      <c r="AV15" s="99" t="s">
        <v>1087</v>
      </c>
      <c r="AW15" s="99"/>
      <c r="AX15" s="99"/>
      <c r="AY15" s="99"/>
      <c r="AZ15" s="99" t="s">
        <v>1087</v>
      </c>
      <c r="BA15" s="99" t="s">
        <v>1087</v>
      </c>
      <c r="BB15" s="99" t="s">
        <v>1087</v>
      </c>
      <c r="BC15" s="99"/>
      <c r="BD15" s="99" t="s">
        <v>1087</v>
      </c>
      <c r="BE15" s="99" t="s">
        <v>1087</v>
      </c>
      <c r="BF15" s="99"/>
      <c r="BG15" s="99"/>
    </row>
    <row r="16" s="89" customFormat="1" spans="1:59">
      <c r="A16" s="91"/>
      <c r="B16" s="97" t="s">
        <v>1088</v>
      </c>
      <c r="C16" s="96" t="s">
        <v>1087</v>
      </c>
      <c r="D16" s="96" t="s">
        <v>1087</v>
      </c>
      <c r="E16" s="96" t="s">
        <v>1087</v>
      </c>
      <c r="F16" s="96"/>
      <c r="G16" s="96" t="s">
        <v>1087</v>
      </c>
      <c r="H16" s="96" t="s">
        <v>1087</v>
      </c>
      <c r="I16" s="98" t="s">
        <v>1087</v>
      </c>
      <c r="J16" s="99"/>
      <c r="K16" s="99" t="s">
        <v>1087</v>
      </c>
      <c r="L16" s="99" t="s">
        <v>1087</v>
      </c>
      <c r="M16" s="99" t="s">
        <v>1087</v>
      </c>
      <c r="N16" s="99" t="s">
        <v>1087</v>
      </c>
      <c r="O16" s="99" t="s">
        <v>1087</v>
      </c>
      <c r="P16" s="99" t="s">
        <v>1087</v>
      </c>
      <c r="Q16" s="99" t="s">
        <v>1087</v>
      </c>
      <c r="R16" s="99" t="s">
        <v>1087</v>
      </c>
      <c r="S16" s="99" t="s">
        <v>1087</v>
      </c>
      <c r="T16" s="99" t="s">
        <v>1087</v>
      </c>
      <c r="U16" s="99" t="s">
        <v>1087</v>
      </c>
      <c r="V16" s="99" t="s">
        <v>1087</v>
      </c>
      <c r="W16" s="99" t="s">
        <v>1087</v>
      </c>
      <c r="X16" s="99" t="s">
        <v>1087</v>
      </c>
      <c r="Y16" s="99"/>
      <c r="Z16" s="99"/>
      <c r="AA16" s="99"/>
      <c r="AB16" s="99" t="s">
        <v>1087</v>
      </c>
      <c r="AC16" s="99" t="s">
        <v>1087</v>
      </c>
      <c r="AD16" s="99" t="s">
        <v>1087</v>
      </c>
      <c r="AE16" s="99" t="s">
        <v>1087</v>
      </c>
      <c r="AF16" s="99"/>
      <c r="AG16" s="99"/>
      <c r="AH16" s="99"/>
      <c r="AI16" s="99"/>
      <c r="AJ16" s="99"/>
      <c r="AK16" s="99"/>
      <c r="AL16" s="99" t="s">
        <v>1087</v>
      </c>
      <c r="AM16" s="99"/>
      <c r="AN16" s="99"/>
      <c r="AO16" s="99"/>
      <c r="AP16" s="99"/>
      <c r="AQ16" s="99" t="s">
        <v>1087</v>
      </c>
      <c r="AR16" s="99" t="s">
        <v>1087</v>
      </c>
      <c r="AS16" s="99" t="s">
        <v>1087</v>
      </c>
      <c r="AT16" s="99"/>
      <c r="AU16" s="99"/>
      <c r="AV16" s="99" t="s">
        <v>1087</v>
      </c>
      <c r="AW16" s="99"/>
      <c r="AX16" s="99"/>
      <c r="AY16" s="99"/>
      <c r="AZ16" s="99" t="s">
        <v>1087</v>
      </c>
      <c r="BA16" s="99" t="s">
        <v>1087</v>
      </c>
      <c r="BB16" s="99" t="s">
        <v>1087</v>
      </c>
      <c r="BC16" s="99"/>
      <c r="BD16" s="99" t="s">
        <v>1087</v>
      </c>
      <c r="BE16" s="99" t="s">
        <v>1087</v>
      </c>
      <c r="BF16" s="99"/>
      <c r="BG16" s="99"/>
    </row>
    <row r="17" s="89" customFormat="1" spans="1:59">
      <c r="A17" s="91"/>
      <c r="B17" s="97" t="s">
        <v>1089</v>
      </c>
      <c r="C17" s="96" t="s">
        <v>1087</v>
      </c>
      <c r="D17" s="96" t="s">
        <v>1087</v>
      </c>
      <c r="E17" s="96" t="s">
        <v>1087</v>
      </c>
      <c r="F17" s="96"/>
      <c r="G17" s="96" t="s">
        <v>1087</v>
      </c>
      <c r="H17" s="96" t="s">
        <v>1087</v>
      </c>
      <c r="I17" s="98" t="s">
        <v>1087</v>
      </c>
      <c r="J17" s="99"/>
      <c r="K17" s="99" t="s">
        <v>1087</v>
      </c>
      <c r="L17" s="99" t="s">
        <v>1087</v>
      </c>
      <c r="M17" s="99" t="s">
        <v>1087</v>
      </c>
      <c r="N17" s="99" t="s">
        <v>1087</v>
      </c>
      <c r="O17" s="99" t="s">
        <v>1087</v>
      </c>
      <c r="P17" s="99" t="s">
        <v>1087</v>
      </c>
      <c r="Q17" s="99" t="s">
        <v>1087</v>
      </c>
      <c r="R17" s="99" t="s">
        <v>1087</v>
      </c>
      <c r="S17" s="99" t="s">
        <v>1087</v>
      </c>
      <c r="T17" s="99" t="s">
        <v>1087</v>
      </c>
      <c r="U17" s="99" t="s">
        <v>1087</v>
      </c>
      <c r="V17" s="99" t="s">
        <v>1087</v>
      </c>
      <c r="W17" s="99" t="s">
        <v>1087</v>
      </c>
      <c r="X17" s="99" t="s">
        <v>1087</v>
      </c>
      <c r="Y17" s="99"/>
      <c r="Z17" s="99"/>
      <c r="AA17" s="99"/>
      <c r="AB17" s="99" t="s">
        <v>1087</v>
      </c>
      <c r="AC17" s="99" t="s">
        <v>1087</v>
      </c>
      <c r="AD17" s="99" t="s">
        <v>1087</v>
      </c>
      <c r="AE17" s="99" t="s">
        <v>1087</v>
      </c>
      <c r="AF17" s="99"/>
      <c r="AG17" s="99"/>
      <c r="AH17" s="99"/>
      <c r="AI17" s="99"/>
      <c r="AJ17" s="99"/>
      <c r="AK17" s="99"/>
      <c r="AL17" s="99" t="s">
        <v>1087</v>
      </c>
      <c r="AM17" s="99"/>
      <c r="AN17" s="99"/>
      <c r="AO17" s="99"/>
      <c r="AP17" s="99"/>
      <c r="AQ17" s="99" t="s">
        <v>1087</v>
      </c>
      <c r="AR17" s="99" t="s">
        <v>1087</v>
      </c>
      <c r="AS17" s="99" t="s">
        <v>1087</v>
      </c>
      <c r="AT17" s="99"/>
      <c r="AU17" s="99"/>
      <c r="AV17" s="99" t="s">
        <v>1087</v>
      </c>
      <c r="AW17" s="99"/>
      <c r="AX17" s="99"/>
      <c r="AY17" s="99"/>
      <c r="AZ17" s="99"/>
      <c r="BA17" s="99" t="s">
        <v>1087</v>
      </c>
      <c r="BB17" s="99" t="s">
        <v>1087</v>
      </c>
      <c r="BC17" s="99"/>
      <c r="BD17" s="99" t="s">
        <v>1087</v>
      </c>
      <c r="BE17" s="99" t="s">
        <v>1087</v>
      </c>
      <c r="BF17" s="99"/>
      <c r="BG17" s="99"/>
    </row>
    <row r="18" s="89" customFormat="1" spans="1:59">
      <c r="A18" s="91"/>
      <c r="B18" s="97" t="s">
        <v>1093</v>
      </c>
      <c r="C18" s="96"/>
      <c r="D18" s="96"/>
      <c r="E18" s="96"/>
      <c r="F18" s="96"/>
      <c r="G18" s="96"/>
      <c r="H18" s="96"/>
      <c r="I18" s="98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 t="s">
        <v>1087</v>
      </c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</row>
    <row r="19" s="89" customFormat="1" spans="1:59">
      <c r="A19" s="91"/>
      <c r="B19" s="97" t="s">
        <v>1088</v>
      </c>
      <c r="C19" s="96"/>
      <c r="D19" s="96"/>
      <c r="E19" s="96"/>
      <c r="F19" s="96"/>
      <c r="G19" s="96"/>
      <c r="H19" s="96"/>
      <c r="I19" s="98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 t="s">
        <v>1087</v>
      </c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</row>
    <row r="20" s="89" customFormat="1" spans="1:59">
      <c r="A20" s="91"/>
      <c r="B20" s="97" t="s">
        <v>1089</v>
      </c>
      <c r="C20" s="96"/>
      <c r="D20" s="96"/>
      <c r="E20" s="96"/>
      <c r="F20" s="96"/>
      <c r="G20" s="96"/>
      <c r="H20" s="96"/>
      <c r="I20" s="98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 t="s">
        <v>1087</v>
      </c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</row>
    <row r="21" s="89" customFormat="1" spans="1:59">
      <c r="A21" s="91"/>
      <c r="B21" s="97" t="s">
        <v>1094</v>
      </c>
      <c r="C21" s="96"/>
      <c r="D21" s="96"/>
      <c r="E21" s="96"/>
      <c r="F21" s="96"/>
      <c r="G21" s="96"/>
      <c r="H21" s="96"/>
      <c r="I21" s="98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 t="s">
        <v>1087</v>
      </c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</row>
    <row r="22" s="89" customFormat="1" spans="1:59">
      <c r="A22" s="91"/>
      <c r="B22" s="97" t="s">
        <v>1088</v>
      </c>
      <c r="C22" s="96"/>
      <c r="D22" s="96"/>
      <c r="E22" s="96"/>
      <c r="F22" s="96"/>
      <c r="G22" s="96"/>
      <c r="H22" s="96"/>
      <c r="I22" s="98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 t="s">
        <v>1087</v>
      </c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</row>
    <row r="23" s="89" customFormat="1" spans="1:59">
      <c r="A23" s="91"/>
      <c r="B23" s="97" t="s">
        <v>1089</v>
      </c>
      <c r="C23" s="96"/>
      <c r="D23" s="96"/>
      <c r="E23" s="96"/>
      <c r="F23" s="96"/>
      <c r="G23" s="96"/>
      <c r="H23" s="96"/>
      <c r="I23" s="98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 t="s">
        <v>1087</v>
      </c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</row>
    <row r="24" s="89" customFormat="1" spans="1:59">
      <c r="A24" s="91"/>
      <c r="B24" s="97" t="s">
        <v>1095</v>
      </c>
      <c r="C24" s="96"/>
      <c r="D24" s="96"/>
      <c r="E24" s="96"/>
      <c r="F24" s="96"/>
      <c r="G24" s="96"/>
      <c r="H24" s="96"/>
      <c r="I24" s="98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 t="s">
        <v>1087</v>
      </c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</row>
    <row r="25" s="89" customFormat="1" spans="1:59">
      <c r="A25" s="91"/>
      <c r="B25" s="97" t="s">
        <v>1088</v>
      </c>
      <c r="C25" s="96"/>
      <c r="D25" s="96"/>
      <c r="E25" s="96"/>
      <c r="F25" s="96"/>
      <c r="G25" s="96" t="s">
        <v>1096</v>
      </c>
      <c r="H25" s="96"/>
      <c r="I25" s="98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 t="s">
        <v>1087</v>
      </c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</row>
    <row r="26" s="89" customFormat="1" spans="1:59">
      <c r="A26" s="91"/>
      <c r="B26" s="97" t="s">
        <v>1089</v>
      </c>
      <c r="C26" s="96"/>
      <c r="D26" s="96"/>
      <c r="E26" s="96"/>
      <c r="F26" s="96"/>
      <c r="G26" s="96"/>
      <c r="H26" s="96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 t="s">
        <v>1087</v>
      </c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</row>
    <row r="27" s="89" customFormat="1" spans="1:59">
      <c r="A27" s="91"/>
      <c r="B27" s="97" t="s">
        <v>1097</v>
      </c>
      <c r="C27" s="96"/>
      <c r="D27" s="96"/>
      <c r="E27" s="96"/>
      <c r="F27" s="96"/>
      <c r="G27" s="96"/>
      <c r="H27" s="96"/>
      <c r="I27" s="98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 t="s">
        <v>1087</v>
      </c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</row>
    <row r="28" s="89" customFormat="1" spans="1:59">
      <c r="A28" s="91"/>
      <c r="B28" s="97" t="s">
        <v>1088</v>
      </c>
      <c r="C28" s="96"/>
      <c r="D28" s="96"/>
      <c r="E28" s="96"/>
      <c r="F28" s="96"/>
      <c r="G28" s="96"/>
      <c r="H28" s="96"/>
      <c r="I28" s="98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 t="s">
        <v>1087</v>
      </c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</row>
    <row r="29" s="89" customFormat="1" spans="1:59">
      <c r="A29" s="91"/>
      <c r="B29" s="97" t="s">
        <v>1089</v>
      </c>
      <c r="C29" s="96"/>
      <c r="D29" s="96"/>
      <c r="E29" s="96"/>
      <c r="F29" s="96"/>
      <c r="G29" s="96"/>
      <c r="H29" s="96"/>
      <c r="I29" s="98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 t="s">
        <v>1087</v>
      </c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</row>
    <row r="30" s="89" customFormat="1" spans="1:59">
      <c r="A30" s="91"/>
      <c r="B30" s="97" t="s">
        <v>1098</v>
      </c>
      <c r="C30" s="96"/>
      <c r="D30" s="96"/>
      <c r="E30" s="96"/>
      <c r="F30" s="96"/>
      <c r="G30" s="96"/>
      <c r="H30" s="96"/>
      <c r="I30" s="98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 t="s">
        <v>1087</v>
      </c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</row>
    <row r="31" s="89" customFormat="1" spans="1:59">
      <c r="A31" s="91"/>
      <c r="B31" s="97" t="s">
        <v>1088</v>
      </c>
      <c r="C31" s="96"/>
      <c r="D31" s="96"/>
      <c r="E31" s="96"/>
      <c r="F31" s="96"/>
      <c r="G31" s="96"/>
      <c r="H31" s="96"/>
      <c r="I31" s="98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 t="s">
        <v>1087</v>
      </c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</row>
    <row r="32" s="89" customFormat="1" spans="1:59">
      <c r="A32" s="91"/>
      <c r="B32" s="97" t="s">
        <v>1089</v>
      </c>
      <c r="C32" s="96"/>
      <c r="D32" s="96"/>
      <c r="E32" s="96"/>
      <c r="F32" s="96"/>
      <c r="G32" s="96"/>
      <c r="H32" s="96"/>
      <c r="I32" s="98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 t="s">
        <v>1087</v>
      </c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</row>
    <row r="33" s="89" customFormat="1" ht="16" customHeight="1" spans="1:59">
      <c r="A33" s="91"/>
      <c r="B33" s="97" t="s">
        <v>1099</v>
      </c>
      <c r="C33" s="96" t="s">
        <v>1087</v>
      </c>
      <c r="D33" s="96" t="s">
        <v>1087</v>
      </c>
      <c r="E33" s="96" t="s">
        <v>1087</v>
      </c>
      <c r="F33" s="96"/>
      <c r="G33" s="96" t="s">
        <v>1087</v>
      </c>
      <c r="H33" s="96" t="s">
        <v>1087</v>
      </c>
      <c r="I33" s="98" t="s">
        <v>1087</v>
      </c>
      <c r="J33" s="99"/>
      <c r="K33" s="99" t="s">
        <v>1087</v>
      </c>
      <c r="L33" s="99" t="s">
        <v>1087</v>
      </c>
      <c r="M33" s="99" t="s">
        <v>1087</v>
      </c>
      <c r="N33" s="99" t="s">
        <v>1087</v>
      </c>
      <c r="O33" s="99" t="s">
        <v>1087</v>
      </c>
      <c r="P33" s="99" t="s">
        <v>1087</v>
      </c>
      <c r="Q33" s="99" t="s">
        <v>1087</v>
      </c>
      <c r="R33" s="99" t="s">
        <v>1087</v>
      </c>
      <c r="S33" s="99" t="s">
        <v>1087</v>
      </c>
      <c r="T33" s="99" t="s">
        <v>1087</v>
      </c>
      <c r="U33" s="99" t="s">
        <v>1087</v>
      </c>
      <c r="V33" s="99" t="s">
        <v>1087</v>
      </c>
      <c r="W33" s="99" t="s">
        <v>1087</v>
      </c>
      <c r="X33" s="99" t="s">
        <v>1087</v>
      </c>
      <c r="Y33" s="99"/>
      <c r="Z33" s="99"/>
      <c r="AA33" s="99"/>
      <c r="AB33" s="99" t="s">
        <v>1087</v>
      </c>
      <c r="AC33" s="99" t="s">
        <v>1087</v>
      </c>
      <c r="AD33" s="99" t="s">
        <v>1087</v>
      </c>
      <c r="AE33" s="99" t="s">
        <v>1087</v>
      </c>
      <c r="AF33" s="99"/>
      <c r="AG33" s="99"/>
      <c r="AH33" s="99"/>
      <c r="AI33" s="99"/>
      <c r="AJ33" s="99"/>
      <c r="AK33" s="99"/>
      <c r="AL33" s="99" t="s">
        <v>1087</v>
      </c>
      <c r="AM33" s="99"/>
      <c r="AN33" s="99"/>
      <c r="AO33" s="99"/>
      <c r="AP33" s="99"/>
      <c r="AQ33" s="99" t="s">
        <v>1087</v>
      </c>
      <c r="AR33" s="99" t="s">
        <v>1087</v>
      </c>
      <c r="AS33" s="99" t="s">
        <v>1087</v>
      </c>
      <c r="AT33" s="99"/>
      <c r="AU33" s="99"/>
      <c r="AV33" s="99" t="s">
        <v>1087</v>
      </c>
      <c r="AW33" s="99"/>
      <c r="AX33" s="99"/>
      <c r="AY33" s="99"/>
      <c r="AZ33" s="99"/>
      <c r="BA33" s="99" t="s">
        <v>1087</v>
      </c>
      <c r="BB33" s="99" t="s">
        <v>1087</v>
      </c>
      <c r="BC33" s="99"/>
      <c r="BD33" s="99" t="s">
        <v>1087</v>
      </c>
      <c r="BE33" s="99" t="s">
        <v>1087</v>
      </c>
      <c r="BF33" s="99"/>
      <c r="BG33" s="99"/>
    </row>
    <row r="34" s="89" customFormat="1" spans="1:59">
      <c r="A34" s="91"/>
      <c r="B34" s="97" t="s">
        <v>1088</v>
      </c>
      <c r="C34" s="96" t="s">
        <v>1087</v>
      </c>
      <c r="D34" s="96" t="s">
        <v>1087</v>
      </c>
      <c r="E34" s="96" t="s">
        <v>1087</v>
      </c>
      <c r="F34" s="96"/>
      <c r="G34" s="96" t="s">
        <v>1087</v>
      </c>
      <c r="H34" s="96" t="s">
        <v>1087</v>
      </c>
      <c r="I34" s="98" t="s">
        <v>1087</v>
      </c>
      <c r="J34" s="99"/>
      <c r="K34" s="99" t="s">
        <v>1087</v>
      </c>
      <c r="L34" s="99" t="s">
        <v>1087</v>
      </c>
      <c r="M34" s="99" t="s">
        <v>1087</v>
      </c>
      <c r="N34" s="99" t="s">
        <v>1087</v>
      </c>
      <c r="O34" s="99" t="s">
        <v>1087</v>
      </c>
      <c r="P34" s="99" t="s">
        <v>1087</v>
      </c>
      <c r="Q34" s="99" t="s">
        <v>1087</v>
      </c>
      <c r="R34" s="99" t="s">
        <v>1087</v>
      </c>
      <c r="S34" s="99" t="s">
        <v>1087</v>
      </c>
      <c r="T34" s="99" t="s">
        <v>1087</v>
      </c>
      <c r="U34" s="99" t="s">
        <v>1087</v>
      </c>
      <c r="V34" s="99" t="s">
        <v>1087</v>
      </c>
      <c r="W34" s="99" t="s">
        <v>1087</v>
      </c>
      <c r="X34" s="99" t="s">
        <v>1087</v>
      </c>
      <c r="Y34" s="99"/>
      <c r="Z34" s="99"/>
      <c r="AA34" s="99"/>
      <c r="AB34" s="99" t="s">
        <v>1087</v>
      </c>
      <c r="AC34" s="99" t="s">
        <v>1087</v>
      </c>
      <c r="AD34" s="99" t="s">
        <v>1087</v>
      </c>
      <c r="AE34" s="99" t="s">
        <v>1087</v>
      </c>
      <c r="AF34" s="99"/>
      <c r="AG34" s="99"/>
      <c r="AH34" s="99"/>
      <c r="AI34" s="99"/>
      <c r="AJ34" s="99"/>
      <c r="AK34" s="99"/>
      <c r="AL34" s="99" t="s">
        <v>1087</v>
      </c>
      <c r="AM34" s="99"/>
      <c r="AN34" s="99"/>
      <c r="AO34" s="99"/>
      <c r="AP34" s="99"/>
      <c r="AQ34" s="99" t="s">
        <v>1087</v>
      </c>
      <c r="AR34" s="99" t="s">
        <v>1087</v>
      </c>
      <c r="AS34" s="99" t="s">
        <v>1087</v>
      </c>
      <c r="AT34" s="99"/>
      <c r="AU34" s="99"/>
      <c r="AV34" s="99" t="s">
        <v>1087</v>
      </c>
      <c r="AW34" s="99"/>
      <c r="AX34" s="99"/>
      <c r="AY34" s="99"/>
      <c r="AZ34" s="99"/>
      <c r="BA34" s="99" t="s">
        <v>1087</v>
      </c>
      <c r="BB34" s="99" t="s">
        <v>1087</v>
      </c>
      <c r="BC34" s="99"/>
      <c r="BD34" s="99" t="s">
        <v>1087</v>
      </c>
      <c r="BE34" s="99" t="s">
        <v>1087</v>
      </c>
      <c r="BF34" s="99"/>
      <c r="BG34" s="99"/>
    </row>
    <row r="35" s="89" customFormat="1" spans="1:59">
      <c r="A35" s="91"/>
      <c r="B35" s="97" t="s">
        <v>1089</v>
      </c>
      <c r="C35" s="96" t="s">
        <v>1087</v>
      </c>
      <c r="D35" s="96" t="s">
        <v>1087</v>
      </c>
      <c r="E35" s="96" t="s">
        <v>1087</v>
      </c>
      <c r="F35" s="96"/>
      <c r="G35" s="96" t="s">
        <v>1087</v>
      </c>
      <c r="H35" s="96" t="s">
        <v>1087</v>
      </c>
      <c r="I35" s="98" t="s">
        <v>1087</v>
      </c>
      <c r="J35" s="99"/>
      <c r="K35" s="99" t="s">
        <v>1087</v>
      </c>
      <c r="L35" s="99" t="s">
        <v>1087</v>
      </c>
      <c r="M35" s="99" t="s">
        <v>1087</v>
      </c>
      <c r="N35" s="99" t="s">
        <v>1087</v>
      </c>
      <c r="O35" s="99" t="s">
        <v>1087</v>
      </c>
      <c r="P35" s="99" t="s">
        <v>1087</v>
      </c>
      <c r="Q35" s="99" t="s">
        <v>1087</v>
      </c>
      <c r="R35" s="99" t="s">
        <v>1087</v>
      </c>
      <c r="S35" s="99" t="s">
        <v>1087</v>
      </c>
      <c r="T35" s="99" t="s">
        <v>1087</v>
      </c>
      <c r="U35" s="99" t="s">
        <v>1087</v>
      </c>
      <c r="V35" s="99" t="s">
        <v>1087</v>
      </c>
      <c r="W35" s="99" t="s">
        <v>1087</v>
      </c>
      <c r="X35" s="99" t="s">
        <v>1087</v>
      </c>
      <c r="Y35" s="99"/>
      <c r="Z35" s="99"/>
      <c r="AA35" s="99"/>
      <c r="AB35" s="99" t="s">
        <v>1087</v>
      </c>
      <c r="AC35" s="99" t="s">
        <v>1087</v>
      </c>
      <c r="AD35" s="99" t="s">
        <v>1087</v>
      </c>
      <c r="AE35" s="99" t="s">
        <v>1087</v>
      </c>
      <c r="AF35" s="99"/>
      <c r="AG35" s="99"/>
      <c r="AH35" s="99"/>
      <c r="AI35" s="99"/>
      <c r="AJ35" s="99"/>
      <c r="AK35" s="99"/>
      <c r="AL35" s="99" t="s">
        <v>1087</v>
      </c>
      <c r="AM35" s="99"/>
      <c r="AN35" s="99"/>
      <c r="AO35" s="99"/>
      <c r="AP35" s="99"/>
      <c r="AQ35" s="99" t="s">
        <v>1087</v>
      </c>
      <c r="AR35" s="99" t="s">
        <v>1087</v>
      </c>
      <c r="AS35" s="99" t="s">
        <v>1087</v>
      </c>
      <c r="AT35" s="99"/>
      <c r="AU35" s="99"/>
      <c r="AV35" s="99" t="s">
        <v>1087</v>
      </c>
      <c r="AW35" s="99"/>
      <c r="AX35" s="99"/>
      <c r="AY35" s="99"/>
      <c r="AZ35" s="99"/>
      <c r="BA35" s="99" t="s">
        <v>1087</v>
      </c>
      <c r="BB35" s="99" t="s">
        <v>1087</v>
      </c>
      <c r="BC35" s="99"/>
      <c r="BD35" s="99" t="s">
        <v>1087</v>
      </c>
      <c r="BE35" s="99" t="s">
        <v>1087</v>
      </c>
      <c r="BF35" s="99"/>
      <c r="BG35" s="99"/>
    </row>
    <row r="36" s="89" customFormat="1" ht="17" customHeight="1" spans="1:59">
      <c r="A36" s="91"/>
      <c r="B36" s="97" t="s">
        <v>1100</v>
      </c>
      <c r="C36" s="96" t="s">
        <v>1087</v>
      </c>
      <c r="D36" s="96"/>
      <c r="E36" s="96"/>
      <c r="F36" s="96"/>
      <c r="G36" s="96"/>
      <c r="H36" s="96"/>
      <c r="I36" s="98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 t="s">
        <v>1087</v>
      </c>
      <c r="X36" s="99" t="s">
        <v>1087</v>
      </c>
      <c r="Y36" s="99"/>
      <c r="Z36" s="99"/>
      <c r="AA36" s="99"/>
      <c r="AB36" s="99" t="s">
        <v>1087</v>
      </c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 t="s">
        <v>1087</v>
      </c>
      <c r="AW36" s="99"/>
      <c r="AX36" s="99"/>
      <c r="AY36" s="99"/>
      <c r="AZ36" s="99"/>
      <c r="BA36" s="99" t="s">
        <v>1087</v>
      </c>
      <c r="BB36" s="99" t="s">
        <v>1087</v>
      </c>
      <c r="BC36" s="99"/>
      <c r="BD36" s="99" t="s">
        <v>1087</v>
      </c>
      <c r="BE36" s="99" t="s">
        <v>1087</v>
      </c>
      <c r="BF36" s="99"/>
      <c r="BG36" s="99"/>
    </row>
    <row r="37" s="89" customFormat="1" spans="1:59">
      <c r="A37" s="91"/>
      <c r="B37" s="97" t="s">
        <v>1088</v>
      </c>
      <c r="C37" s="96" t="s">
        <v>1087</v>
      </c>
      <c r="D37" s="96"/>
      <c r="E37" s="96"/>
      <c r="F37" s="96"/>
      <c r="G37" s="96"/>
      <c r="H37" s="96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 t="s">
        <v>1087</v>
      </c>
      <c r="X37" s="99" t="s">
        <v>1087</v>
      </c>
      <c r="Y37" s="99"/>
      <c r="Z37" s="99"/>
      <c r="AA37" s="99"/>
      <c r="AB37" s="99" t="s">
        <v>1087</v>
      </c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 t="s">
        <v>1087</v>
      </c>
      <c r="AW37" s="99"/>
      <c r="AX37" s="99"/>
      <c r="AY37" s="99"/>
      <c r="AZ37" s="99"/>
      <c r="BA37" s="99" t="s">
        <v>1087</v>
      </c>
      <c r="BB37" s="99" t="s">
        <v>1087</v>
      </c>
      <c r="BC37" s="99"/>
      <c r="BD37" s="99" t="s">
        <v>1087</v>
      </c>
      <c r="BE37" s="99" t="s">
        <v>1087</v>
      </c>
      <c r="BF37" s="99"/>
      <c r="BG37" s="99"/>
    </row>
    <row r="38" s="89" customFormat="1" spans="1:59">
      <c r="A38" s="91"/>
      <c r="B38" s="97" t="s">
        <v>1089</v>
      </c>
      <c r="C38" s="96" t="s">
        <v>1087</v>
      </c>
      <c r="D38" s="96"/>
      <c r="E38" s="96"/>
      <c r="F38" s="96"/>
      <c r="G38" s="96"/>
      <c r="H38" s="96"/>
      <c r="I38" s="98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 t="s">
        <v>1087</v>
      </c>
      <c r="X38" s="99" t="s">
        <v>1087</v>
      </c>
      <c r="Y38" s="99"/>
      <c r="Z38" s="99"/>
      <c r="AA38" s="99"/>
      <c r="AB38" s="99" t="s">
        <v>1087</v>
      </c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 t="s">
        <v>1087</v>
      </c>
      <c r="AW38" s="99"/>
      <c r="AX38" s="99"/>
      <c r="AY38" s="99"/>
      <c r="AZ38" s="99"/>
      <c r="BA38" s="99" t="s">
        <v>1087</v>
      </c>
      <c r="BB38" s="99" t="s">
        <v>1087</v>
      </c>
      <c r="BC38" s="99"/>
      <c r="BD38" s="99" t="s">
        <v>1087</v>
      </c>
      <c r="BE38" s="99" t="s">
        <v>1087</v>
      </c>
      <c r="BF38" s="99"/>
      <c r="BG38" s="99"/>
    </row>
    <row r="39" s="89" customFormat="1" ht="16" customHeight="1" spans="1:59">
      <c r="A39" s="91"/>
      <c r="B39" s="97" t="s">
        <v>1101</v>
      </c>
      <c r="C39" s="96" t="s">
        <v>1087</v>
      </c>
      <c r="D39" s="96"/>
      <c r="E39" s="96"/>
      <c r="F39" s="96"/>
      <c r="G39" s="96"/>
      <c r="H39" s="96"/>
      <c r="I39" s="98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 t="s">
        <v>1087</v>
      </c>
      <c r="X39" s="99" t="s">
        <v>1087</v>
      </c>
      <c r="Y39" s="99"/>
      <c r="Z39" s="99"/>
      <c r="AA39" s="99"/>
      <c r="AB39" s="99" t="s">
        <v>1087</v>
      </c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 t="s">
        <v>1087</v>
      </c>
      <c r="AW39" s="99"/>
      <c r="AX39" s="99"/>
      <c r="AY39" s="99"/>
      <c r="AZ39" s="99"/>
      <c r="BA39" s="99" t="s">
        <v>1087</v>
      </c>
      <c r="BB39" s="99" t="s">
        <v>1087</v>
      </c>
      <c r="BC39" s="99"/>
      <c r="BD39" s="99" t="s">
        <v>1087</v>
      </c>
      <c r="BE39" s="99" t="s">
        <v>1087</v>
      </c>
      <c r="BF39" s="99"/>
      <c r="BG39" s="99"/>
    </row>
    <row r="40" s="89" customFormat="1" spans="1:59">
      <c r="A40" s="91"/>
      <c r="B40" s="97" t="s">
        <v>1088</v>
      </c>
      <c r="C40" s="96" t="s">
        <v>1087</v>
      </c>
      <c r="D40" s="96"/>
      <c r="E40" s="96"/>
      <c r="F40" s="96"/>
      <c r="G40" s="96"/>
      <c r="H40" s="96"/>
      <c r="I40" s="98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 t="s">
        <v>1087</v>
      </c>
      <c r="X40" s="99" t="s">
        <v>1087</v>
      </c>
      <c r="Y40" s="99"/>
      <c r="Z40" s="99"/>
      <c r="AA40" s="99"/>
      <c r="AB40" s="99" t="s">
        <v>1087</v>
      </c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 t="s">
        <v>1087</v>
      </c>
      <c r="AW40" s="99"/>
      <c r="AX40" s="99"/>
      <c r="AY40" s="99"/>
      <c r="AZ40" s="99"/>
      <c r="BA40" s="99" t="s">
        <v>1087</v>
      </c>
      <c r="BB40" s="99" t="s">
        <v>1087</v>
      </c>
      <c r="BC40" s="99"/>
      <c r="BD40" s="99" t="s">
        <v>1087</v>
      </c>
      <c r="BE40" s="99" t="s">
        <v>1087</v>
      </c>
      <c r="BF40" s="99"/>
      <c r="BG40" s="99"/>
    </row>
    <row r="41" s="89" customFormat="1" spans="1:59">
      <c r="A41" s="91"/>
      <c r="B41" s="97" t="s">
        <v>1089</v>
      </c>
      <c r="C41" s="96" t="s">
        <v>1087</v>
      </c>
      <c r="D41" s="96"/>
      <c r="E41" s="96"/>
      <c r="F41" s="96"/>
      <c r="G41" s="96"/>
      <c r="H41" s="96"/>
      <c r="I41" s="98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 t="s">
        <v>1087</v>
      </c>
      <c r="X41" s="99" t="s">
        <v>1087</v>
      </c>
      <c r="Y41" s="99"/>
      <c r="Z41" s="99"/>
      <c r="AA41" s="99"/>
      <c r="AB41" s="99" t="s">
        <v>1087</v>
      </c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 t="s">
        <v>1087</v>
      </c>
      <c r="AW41" s="99"/>
      <c r="AX41" s="99"/>
      <c r="AY41" s="99"/>
      <c r="AZ41" s="99"/>
      <c r="BA41" s="99" t="s">
        <v>1087</v>
      </c>
      <c r="BB41" s="99" t="s">
        <v>1087</v>
      </c>
      <c r="BC41" s="99"/>
      <c r="BD41" s="99" t="s">
        <v>1087</v>
      </c>
      <c r="BE41" s="99" t="s">
        <v>1087</v>
      </c>
      <c r="BF41" s="99"/>
      <c r="BG41" s="99"/>
    </row>
  </sheetData>
  <mergeCells count="5">
    <mergeCell ref="C1:AA1"/>
    <mergeCell ref="AB1:AU1"/>
    <mergeCell ref="AV1:BE1"/>
    <mergeCell ref="BF1:BG1"/>
    <mergeCell ref="A1:A41"/>
  </mergeCells>
  <pageMargins left="0.75" right="0.75" top="1" bottom="1" header="0.511805555555556" footer="0.511805555555556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00"/>
  <sheetViews>
    <sheetView workbookViewId="0">
      <pane ySplit="1" topLeftCell="A2" activePane="bottomLeft" state="frozen"/>
      <selection/>
      <selection pane="bottomLeft" activeCell="C91" sqref="C91"/>
    </sheetView>
  </sheetViews>
  <sheetFormatPr defaultColWidth="9" defaultRowHeight="13.5"/>
  <cols>
    <col min="1" max="1" width="18.5166666666667" style="3" customWidth="1"/>
    <col min="2" max="2" width="10.875" style="3" customWidth="1"/>
    <col min="3" max="3" width="24.625" style="3" customWidth="1"/>
    <col min="4" max="4" width="23.9666666666667" style="3" customWidth="1"/>
    <col min="5" max="5" width="24" style="3" customWidth="1"/>
    <col min="6" max="7" width="15.625" style="3" customWidth="1"/>
    <col min="8" max="8" width="11.7" style="3" customWidth="1"/>
    <col min="9" max="9" width="10.375" style="3"/>
    <col min="10" max="10" width="15.675" style="3" customWidth="1"/>
    <col min="11" max="12" width="10.375" style="3"/>
    <col min="13" max="13" width="9" style="3"/>
    <col min="14" max="14" width="10.375" style="3"/>
    <col min="15" max="15" width="12.875" style="3"/>
    <col min="16" max="16" width="14.125" style="3"/>
    <col min="17" max="18" width="9" style="3"/>
    <col min="19" max="19" width="9.375" style="3"/>
    <col min="20" max="21" width="12.875" style="3"/>
    <col min="22" max="25" width="9" style="3"/>
    <col min="26" max="26" width="9.25" style="3"/>
    <col min="27" max="29" width="9" style="3"/>
    <col min="30" max="31" width="9.375" style="3"/>
    <col min="32" max="16384" width="9" style="3"/>
  </cols>
  <sheetData>
    <row r="1" s="3" customFormat="1" spans="1:42">
      <c r="A1" s="3" t="s">
        <v>1102</v>
      </c>
      <c r="B1" s="8" t="s">
        <v>67</v>
      </c>
      <c r="C1" s="8" t="s">
        <v>68</v>
      </c>
      <c r="D1" s="8" t="s">
        <v>69</v>
      </c>
      <c r="E1" s="8" t="s">
        <v>6</v>
      </c>
      <c r="F1" s="8" t="s">
        <v>1103</v>
      </c>
      <c r="G1" s="8" t="s">
        <v>71</v>
      </c>
      <c r="H1" s="8" t="s">
        <v>73</v>
      </c>
      <c r="I1" s="8" t="s">
        <v>1104</v>
      </c>
      <c r="J1" s="8" t="s">
        <v>1105</v>
      </c>
      <c r="K1" s="3" t="s">
        <v>7</v>
      </c>
      <c r="L1" s="8" t="s">
        <v>1106</v>
      </c>
      <c r="M1" s="26" t="s">
        <v>1107</v>
      </c>
      <c r="N1" s="26" t="s">
        <v>1108</v>
      </c>
      <c r="O1" s="26" t="s">
        <v>1109</v>
      </c>
      <c r="P1" s="26" t="s">
        <v>78</v>
      </c>
      <c r="Q1" s="26" t="s">
        <v>1110</v>
      </c>
      <c r="R1" s="41" t="s">
        <v>1111</v>
      </c>
      <c r="S1" s="41" t="s">
        <v>1112</v>
      </c>
      <c r="T1" s="41" t="s">
        <v>1109</v>
      </c>
      <c r="U1" s="41" t="s">
        <v>78</v>
      </c>
      <c r="V1" s="41" t="s">
        <v>1110</v>
      </c>
      <c r="W1" s="45" t="s">
        <v>1113</v>
      </c>
      <c r="X1" s="45" t="s">
        <v>1114</v>
      </c>
      <c r="Y1" s="45" t="s">
        <v>1109</v>
      </c>
      <c r="Z1" s="45" t="s">
        <v>78</v>
      </c>
      <c r="AA1" s="45" t="s">
        <v>1110</v>
      </c>
      <c r="AB1" s="25" t="s">
        <v>1115</v>
      </c>
      <c r="AC1" s="25" t="s">
        <v>1116</v>
      </c>
      <c r="AD1" s="25" t="s">
        <v>1109</v>
      </c>
      <c r="AE1" s="25" t="s">
        <v>78</v>
      </c>
      <c r="AF1" s="25" t="s">
        <v>1110</v>
      </c>
      <c r="AG1" s="46" t="s">
        <v>1117</v>
      </c>
      <c r="AH1" s="46" t="s">
        <v>1118</v>
      </c>
      <c r="AI1" s="46" t="s">
        <v>1109</v>
      </c>
      <c r="AJ1" s="46" t="s">
        <v>78</v>
      </c>
      <c r="AK1" s="46" t="s">
        <v>1110</v>
      </c>
      <c r="AL1" s="47" t="s">
        <v>1119</v>
      </c>
      <c r="AM1" s="47" t="s">
        <v>75</v>
      </c>
      <c r="AN1" s="47" t="s">
        <v>1120</v>
      </c>
      <c r="AO1" s="47" t="s">
        <v>1106</v>
      </c>
      <c r="AP1" s="47" t="s">
        <v>74</v>
      </c>
    </row>
    <row r="2" s="17" customFormat="1" spans="1:20">
      <c r="A2" s="17" t="s">
        <v>1121</v>
      </c>
      <c r="B2" s="22" t="s">
        <v>1002</v>
      </c>
      <c r="C2" s="23" t="s">
        <v>1122</v>
      </c>
      <c r="E2" s="22" t="s">
        <v>1123</v>
      </c>
      <c r="F2" s="52">
        <v>42658</v>
      </c>
      <c r="G2" s="52">
        <v>42673</v>
      </c>
      <c r="H2" s="22">
        <v>23000</v>
      </c>
      <c r="I2" s="22">
        <v>0</v>
      </c>
      <c r="J2" s="22" t="s">
        <v>1124</v>
      </c>
      <c r="K2" s="22"/>
      <c r="L2" s="22"/>
      <c r="M2" s="17" t="s">
        <v>1125</v>
      </c>
      <c r="N2" s="17">
        <v>20700</v>
      </c>
      <c r="O2" s="17">
        <v>20700</v>
      </c>
      <c r="P2" s="17">
        <v>23000</v>
      </c>
      <c r="R2" s="17" t="s">
        <v>1126</v>
      </c>
      <c r="S2" s="17">
        <v>2300</v>
      </c>
      <c r="T2" s="17">
        <v>2300</v>
      </c>
    </row>
    <row r="3" s="17" customFormat="1" spans="1:42">
      <c r="A3" s="17" t="s">
        <v>1121</v>
      </c>
      <c r="B3" s="22" t="s">
        <v>1003</v>
      </c>
      <c r="C3" s="22" t="s">
        <v>294</v>
      </c>
      <c r="D3" s="17" t="s">
        <v>1127</v>
      </c>
      <c r="E3" s="17" t="s">
        <v>424</v>
      </c>
      <c r="F3" s="18">
        <v>42736</v>
      </c>
      <c r="G3" s="18">
        <v>43830</v>
      </c>
      <c r="H3" s="22">
        <v>204000</v>
      </c>
      <c r="I3" s="22">
        <v>0</v>
      </c>
      <c r="J3" s="22" t="s">
        <v>1124</v>
      </c>
      <c r="K3" s="22"/>
      <c r="M3" s="17" t="s">
        <v>1128</v>
      </c>
      <c r="N3" s="17">
        <v>17000</v>
      </c>
      <c r="O3" s="17">
        <v>17000</v>
      </c>
      <c r="P3" s="17">
        <v>17000</v>
      </c>
      <c r="T3" s="17">
        <v>17000</v>
      </c>
      <c r="U3" s="17">
        <v>17000</v>
      </c>
      <c r="Y3" s="17">
        <v>17000</v>
      </c>
      <c r="Z3" s="17">
        <v>17000</v>
      </c>
      <c r="AD3" s="17">
        <v>17000</v>
      </c>
      <c r="AE3" s="17">
        <v>17000</v>
      </c>
      <c r="AP3" s="17" t="s">
        <v>1129</v>
      </c>
    </row>
    <row r="4" s="17" customFormat="1" spans="1:21">
      <c r="A4" s="17" t="s">
        <v>1121</v>
      </c>
      <c r="B4" s="22" t="s">
        <v>1130</v>
      </c>
      <c r="C4" s="22" t="s">
        <v>1131</v>
      </c>
      <c r="D4" s="22" t="s">
        <v>1132</v>
      </c>
      <c r="E4" s="22" t="s">
        <v>1133</v>
      </c>
      <c r="F4" s="52">
        <v>42736</v>
      </c>
      <c r="G4" s="52">
        <v>43100</v>
      </c>
      <c r="H4" s="22">
        <v>17000</v>
      </c>
      <c r="I4" s="22">
        <v>0</v>
      </c>
      <c r="J4" s="22" t="s">
        <v>1124</v>
      </c>
      <c r="K4" s="22"/>
      <c r="L4" s="22"/>
      <c r="M4" s="17" t="s">
        <v>1134</v>
      </c>
      <c r="N4" s="17">
        <v>8500</v>
      </c>
      <c r="O4" s="17">
        <v>8500</v>
      </c>
      <c r="P4" s="17">
        <f>8500-8500+8500</f>
        <v>8500</v>
      </c>
      <c r="R4" s="17" t="s">
        <v>1135</v>
      </c>
      <c r="S4" s="17">
        <v>8500</v>
      </c>
      <c r="T4" s="17">
        <v>8500</v>
      </c>
      <c r="U4" s="17">
        <v>8500</v>
      </c>
    </row>
    <row r="5" s="17" customFormat="1" spans="1:25">
      <c r="A5" s="17" t="s">
        <v>1136</v>
      </c>
      <c r="B5" s="22" t="s">
        <v>84</v>
      </c>
      <c r="C5" s="22" t="s">
        <v>85</v>
      </c>
      <c r="D5" s="17" t="s">
        <v>1137</v>
      </c>
      <c r="E5" s="22" t="s">
        <v>1138</v>
      </c>
      <c r="F5" s="52">
        <v>42736</v>
      </c>
      <c r="G5" s="52">
        <v>43100</v>
      </c>
      <c r="H5" s="22">
        <v>30000</v>
      </c>
      <c r="I5" s="22" t="s">
        <v>1139</v>
      </c>
      <c r="J5" s="22" t="s">
        <v>1124</v>
      </c>
      <c r="K5" s="22"/>
      <c r="L5" s="22"/>
      <c r="M5" s="17" t="s">
        <v>1140</v>
      </c>
      <c r="N5" s="17">
        <v>15000</v>
      </c>
      <c r="O5" s="17">
        <f>15000</f>
        <v>15000</v>
      </c>
      <c r="P5" s="17">
        <v>30000</v>
      </c>
      <c r="R5" s="17" t="s">
        <v>1141</v>
      </c>
      <c r="S5" s="17">
        <v>12000</v>
      </c>
      <c r="T5" s="17">
        <v>12000</v>
      </c>
      <c r="W5" s="17" t="s">
        <v>1142</v>
      </c>
      <c r="X5" s="17">
        <v>3000</v>
      </c>
      <c r="Y5" s="17">
        <v>3000</v>
      </c>
    </row>
    <row r="6" s="17" customFormat="1" spans="1:16">
      <c r="A6" s="17" t="s">
        <v>1121</v>
      </c>
      <c r="B6" s="22" t="s">
        <v>1143</v>
      </c>
      <c r="C6" s="23" t="s">
        <v>1144</v>
      </c>
      <c r="D6" s="17" t="s">
        <v>1145</v>
      </c>
      <c r="E6" s="22" t="s">
        <v>1146</v>
      </c>
      <c r="F6" s="52">
        <v>42740</v>
      </c>
      <c r="G6" s="52">
        <v>42755</v>
      </c>
      <c r="H6" s="22">
        <v>146000</v>
      </c>
      <c r="I6" s="64">
        <v>0</v>
      </c>
      <c r="J6" s="64" t="s">
        <v>1124</v>
      </c>
      <c r="K6" s="64"/>
      <c r="L6" s="22"/>
      <c r="M6" s="17" t="s">
        <v>1147</v>
      </c>
      <c r="N6" s="17">
        <v>146000</v>
      </c>
      <c r="O6" s="17">
        <f>30000+200000</f>
        <v>230000</v>
      </c>
      <c r="P6" s="17">
        <f>73000*2+75000*2</f>
        <v>296000</v>
      </c>
    </row>
    <row r="7" s="17" customFormat="1" spans="1:19">
      <c r="A7" s="17" t="s">
        <v>1121</v>
      </c>
      <c r="B7" s="22" t="s">
        <v>1143</v>
      </c>
      <c r="C7" s="23" t="s">
        <v>1144</v>
      </c>
      <c r="D7" s="17" t="s">
        <v>1148</v>
      </c>
      <c r="E7" s="22" t="s">
        <v>1146</v>
      </c>
      <c r="F7" s="52">
        <v>42835</v>
      </c>
      <c r="G7" s="52">
        <v>42865</v>
      </c>
      <c r="H7" s="22">
        <v>150000</v>
      </c>
      <c r="I7" s="65"/>
      <c r="J7" s="65"/>
      <c r="K7" s="65"/>
      <c r="L7" s="22"/>
      <c r="M7" s="17" t="s">
        <v>1149</v>
      </c>
      <c r="N7" s="17">
        <v>30000</v>
      </c>
      <c r="O7" s="17">
        <v>66000</v>
      </c>
      <c r="R7" s="17" t="s">
        <v>1150</v>
      </c>
      <c r="S7" s="17">
        <v>120000</v>
      </c>
    </row>
    <row r="8" s="17" customFormat="1" spans="1:21">
      <c r="A8" s="17" t="s">
        <v>1136</v>
      </c>
      <c r="B8" s="22" t="s">
        <v>255</v>
      </c>
      <c r="C8" s="22" t="s">
        <v>256</v>
      </c>
      <c r="D8" s="22" t="s">
        <v>1151</v>
      </c>
      <c r="E8" s="22" t="s">
        <v>1152</v>
      </c>
      <c r="F8" s="52">
        <v>42787</v>
      </c>
      <c r="G8" s="52">
        <v>43151</v>
      </c>
      <c r="H8" s="22">
        <v>199600</v>
      </c>
      <c r="I8" s="22" t="s">
        <v>1139</v>
      </c>
      <c r="J8" s="22" t="s">
        <v>1124</v>
      </c>
      <c r="K8" s="22"/>
      <c r="L8" s="22"/>
      <c r="M8" s="17" t="s">
        <v>1153</v>
      </c>
      <c r="N8" s="17">
        <v>99800</v>
      </c>
      <c r="O8" s="17">
        <v>99800</v>
      </c>
      <c r="P8" s="17">
        <v>99800</v>
      </c>
      <c r="R8" s="17" t="s">
        <v>1154</v>
      </c>
      <c r="S8" s="17">
        <v>99800</v>
      </c>
      <c r="T8" s="17">
        <v>99800</v>
      </c>
      <c r="U8" s="17">
        <v>99800</v>
      </c>
    </row>
    <row r="9" s="3" customFormat="1" spans="1:24">
      <c r="A9" s="3" t="s">
        <v>1121</v>
      </c>
      <c r="B9" s="26" t="s">
        <v>1155</v>
      </c>
      <c r="C9" s="28" t="s">
        <v>1156</v>
      </c>
      <c r="E9" s="27" t="s">
        <v>1157</v>
      </c>
      <c r="F9" s="53">
        <v>42808</v>
      </c>
      <c r="G9" s="53">
        <v>42856</v>
      </c>
      <c r="H9" s="27">
        <v>250000</v>
      </c>
      <c r="I9" s="26">
        <v>12500</v>
      </c>
      <c r="J9" s="26" t="s">
        <v>1158</v>
      </c>
      <c r="K9" s="26"/>
      <c r="L9" s="27"/>
      <c r="M9" s="3" t="s">
        <v>1159</v>
      </c>
      <c r="N9" s="3">
        <v>150000</v>
      </c>
      <c r="O9" s="3">
        <v>150000</v>
      </c>
      <c r="P9" s="3">
        <v>150000</v>
      </c>
      <c r="R9" s="3" t="s">
        <v>1160</v>
      </c>
      <c r="S9" s="3">
        <v>87500</v>
      </c>
      <c r="T9" s="3">
        <v>87500</v>
      </c>
      <c r="U9" s="3">
        <v>87500</v>
      </c>
      <c r="W9" s="3" t="s">
        <v>1161</v>
      </c>
      <c r="X9" s="3">
        <v>12500</v>
      </c>
    </row>
    <row r="10" s="3" customFormat="1" spans="1:17">
      <c r="A10" s="3" t="s">
        <v>1136</v>
      </c>
      <c r="B10" s="26" t="s">
        <v>1011</v>
      </c>
      <c r="C10" s="28" t="s">
        <v>1162</v>
      </c>
      <c r="D10" s="27" t="s">
        <v>1163</v>
      </c>
      <c r="E10" s="27" t="s">
        <v>1164</v>
      </c>
      <c r="F10" s="53">
        <v>42822</v>
      </c>
      <c r="G10" s="53">
        <v>43186</v>
      </c>
      <c r="H10" s="27">
        <v>275000</v>
      </c>
      <c r="I10" s="26">
        <v>132649.57</v>
      </c>
      <c r="J10" s="26" t="s">
        <v>1165</v>
      </c>
      <c r="K10" s="26"/>
      <c r="L10" s="27"/>
      <c r="N10" s="3">
        <v>272649.57</v>
      </c>
      <c r="P10" s="3">
        <v>272649.57</v>
      </c>
      <c r="Q10" s="3">
        <v>140000</v>
      </c>
    </row>
    <row r="11" s="17" customFormat="1" spans="1:20">
      <c r="A11" s="17" t="s">
        <v>1136</v>
      </c>
      <c r="B11" s="17" t="s">
        <v>309</v>
      </c>
      <c r="C11" s="17" t="s">
        <v>310</v>
      </c>
      <c r="D11" s="17" t="s">
        <v>1166</v>
      </c>
      <c r="E11" s="17" t="s">
        <v>1167</v>
      </c>
      <c r="F11" s="52">
        <v>42826</v>
      </c>
      <c r="G11" s="52">
        <v>43190</v>
      </c>
      <c r="H11" s="22">
        <v>15000</v>
      </c>
      <c r="I11" s="22" t="s">
        <v>1139</v>
      </c>
      <c r="J11" s="22" t="s">
        <v>1124</v>
      </c>
      <c r="K11" s="22"/>
      <c r="M11" s="17" t="s">
        <v>1168</v>
      </c>
      <c r="N11" s="17">
        <v>7500</v>
      </c>
      <c r="O11" s="17">
        <v>7500</v>
      </c>
      <c r="P11" s="17">
        <v>15000</v>
      </c>
      <c r="R11" s="17" t="s">
        <v>1169</v>
      </c>
      <c r="S11" s="17">
        <v>7500</v>
      </c>
      <c r="T11" s="17">
        <v>7500</v>
      </c>
    </row>
    <row r="12" s="17" customFormat="1" spans="1:21">
      <c r="A12" s="17" t="s">
        <v>1136</v>
      </c>
      <c r="B12" s="22" t="s">
        <v>255</v>
      </c>
      <c r="C12" s="22" t="s">
        <v>256</v>
      </c>
      <c r="D12" s="22" t="s">
        <v>1170</v>
      </c>
      <c r="E12" s="22" t="s">
        <v>1171</v>
      </c>
      <c r="F12" s="52">
        <v>42826</v>
      </c>
      <c r="G12" s="52">
        <v>43190</v>
      </c>
      <c r="H12" s="22">
        <v>69600</v>
      </c>
      <c r="I12" s="22">
        <v>0</v>
      </c>
      <c r="J12" s="22" t="s">
        <v>1124</v>
      </c>
      <c r="K12" s="22"/>
      <c r="L12" s="22"/>
      <c r="M12" s="17" t="s">
        <v>1153</v>
      </c>
      <c r="N12" s="17">
        <v>34800</v>
      </c>
      <c r="O12" s="17">
        <v>34800</v>
      </c>
      <c r="P12" s="17">
        <v>34800</v>
      </c>
      <c r="R12" s="17" t="s">
        <v>1154</v>
      </c>
      <c r="S12" s="17">
        <v>34800</v>
      </c>
      <c r="T12" s="17">
        <v>34800</v>
      </c>
      <c r="U12" s="17">
        <v>34800</v>
      </c>
    </row>
    <row r="13" s="17" customFormat="1" spans="1:21">
      <c r="A13" s="17" t="s">
        <v>1136</v>
      </c>
      <c r="B13" s="17" t="s">
        <v>414</v>
      </c>
      <c r="C13" s="17" t="s">
        <v>415</v>
      </c>
      <c r="D13" s="22" t="s">
        <v>1172</v>
      </c>
      <c r="E13" s="22" t="s">
        <v>1173</v>
      </c>
      <c r="F13" s="52">
        <v>42826</v>
      </c>
      <c r="G13" s="52">
        <v>43190</v>
      </c>
      <c r="H13" s="22">
        <v>88934</v>
      </c>
      <c r="I13" s="22">
        <v>0</v>
      </c>
      <c r="J13" s="22" t="s">
        <v>1124</v>
      </c>
      <c r="K13" s="22"/>
      <c r="L13" s="22"/>
      <c r="M13" s="17" t="s">
        <v>1174</v>
      </c>
      <c r="N13" s="17">
        <v>44467</v>
      </c>
      <c r="O13" s="17">
        <v>44467</v>
      </c>
      <c r="P13" s="17">
        <v>44467</v>
      </c>
      <c r="R13" s="17" t="s">
        <v>1175</v>
      </c>
      <c r="S13" s="17">
        <v>44467</v>
      </c>
      <c r="T13" s="17">
        <v>44467</v>
      </c>
      <c r="U13" s="17">
        <v>44467</v>
      </c>
    </row>
    <row r="14" s="17" customFormat="1" spans="1:26">
      <c r="A14" s="17" t="s">
        <v>1136</v>
      </c>
      <c r="B14" s="22" t="s">
        <v>1176</v>
      </c>
      <c r="C14" s="22" t="s">
        <v>1177</v>
      </c>
      <c r="D14" s="22" t="s">
        <v>1178</v>
      </c>
      <c r="E14" s="22" t="s">
        <v>720</v>
      </c>
      <c r="F14" s="52">
        <v>42826</v>
      </c>
      <c r="G14" s="52">
        <v>43190</v>
      </c>
      <c r="H14" s="22">
        <v>66000</v>
      </c>
      <c r="I14" s="22" t="s">
        <v>1139</v>
      </c>
      <c r="J14" s="22" t="s">
        <v>1124</v>
      </c>
      <c r="K14" s="22"/>
      <c r="L14" s="22"/>
      <c r="M14" s="17" t="s">
        <v>1179</v>
      </c>
      <c r="N14" s="17">
        <v>26400</v>
      </c>
      <c r="O14" s="17">
        <v>26400</v>
      </c>
      <c r="P14" s="17">
        <v>26400</v>
      </c>
      <c r="R14" s="17" t="s">
        <v>1180</v>
      </c>
      <c r="S14" s="17">
        <v>33000</v>
      </c>
      <c r="T14" s="17">
        <v>33000</v>
      </c>
      <c r="U14" s="17">
        <v>33000</v>
      </c>
      <c r="W14" s="17" t="s">
        <v>1181</v>
      </c>
      <c r="X14" s="17">
        <v>6600</v>
      </c>
      <c r="Y14" s="17">
        <v>6600</v>
      </c>
      <c r="Z14" s="17">
        <v>6600</v>
      </c>
    </row>
    <row r="15" s="17" customFormat="1" spans="1:26">
      <c r="A15" s="17" t="s">
        <v>1136</v>
      </c>
      <c r="B15" s="22" t="s">
        <v>1182</v>
      </c>
      <c r="C15" s="22" t="s">
        <v>288</v>
      </c>
      <c r="D15" s="17" t="s">
        <v>1183</v>
      </c>
      <c r="E15" s="22" t="s">
        <v>290</v>
      </c>
      <c r="F15" s="52">
        <v>42826</v>
      </c>
      <c r="G15" s="52">
        <v>43190</v>
      </c>
      <c r="H15" s="22">
        <v>97986</v>
      </c>
      <c r="I15" s="22">
        <v>0</v>
      </c>
      <c r="J15" s="22" t="s">
        <v>1124</v>
      </c>
      <c r="K15" s="22"/>
      <c r="L15" s="22"/>
      <c r="M15" s="17" t="s">
        <v>1184</v>
      </c>
      <c r="N15" s="17">
        <v>29395.8</v>
      </c>
      <c r="O15" s="17">
        <v>29395.8</v>
      </c>
      <c r="P15" s="17">
        <v>29395.8</v>
      </c>
      <c r="R15" s="17" t="s">
        <v>1185</v>
      </c>
      <c r="S15" s="17">
        <v>48993</v>
      </c>
      <c r="T15" s="17">
        <v>48993</v>
      </c>
      <c r="U15" s="17">
        <v>48993</v>
      </c>
      <c r="W15" s="17" t="s">
        <v>1186</v>
      </c>
      <c r="X15" s="17">
        <v>19597.2</v>
      </c>
      <c r="Y15" s="17">
        <v>19597.2</v>
      </c>
      <c r="Z15" s="17">
        <v>19597.2</v>
      </c>
    </row>
    <row r="16" s="17" customFormat="1" spans="1:21">
      <c r="A16" s="17" t="s">
        <v>1121</v>
      </c>
      <c r="B16" s="22" t="s">
        <v>1012</v>
      </c>
      <c r="C16" s="54" t="s">
        <v>838</v>
      </c>
      <c r="D16" s="17" t="s">
        <v>1187</v>
      </c>
      <c r="E16" s="22" t="s">
        <v>1188</v>
      </c>
      <c r="F16" s="52">
        <v>42826</v>
      </c>
      <c r="G16" s="52">
        <v>43008</v>
      </c>
      <c r="H16" s="22">
        <v>26600</v>
      </c>
      <c r="I16" s="22">
        <v>0</v>
      </c>
      <c r="J16" s="22" t="s">
        <v>1124</v>
      </c>
      <c r="K16" s="22"/>
      <c r="L16" s="22"/>
      <c r="M16" s="17" t="s">
        <v>1189</v>
      </c>
      <c r="N16" s="17">
        <v>13300</v>
      </c>
      <c r="O16" s="17">
        <v>13300</v>
      </c>
      <c r="P16" s="17">
        <v>13300</v>
      </c>
      <c r="R16" s="17" t="s">
        <v>1190</v>
      </c>
      <c r="S16" s="17">
        <v>13300</v>
      </c>
      <c r="T16" s="17">
        <v>13300</v>
      </c>
      <c r="U16" s="17">
        <v>13300</v>
      </c>
    </row>
    <row r="17" s="3" customFormat="1" spans="1:24">
      <c r="A17" s="3" t="s">
        <v>513</v>
      </c>
      <c r="B17" s="26" t="s">
        <v>1191</v>
      </c>
      <c r="C17" s="28" t="s">
        <v>1192</v>
      </c>
      <c r="D17" s="27" t="s">
        <v>1193</v>
      </c>
      <c r="E17" s="27" t="s">
        <v>1194</v>
      </c>
      <c r="F17" s="53">
        <v>42855</v>
      </c>
      <c r="G17" s="53">
        <v>43069</v>
      </c>
      <c r="H17" s="27">
        <v>234790</v>
      </c>
      <c r="I17" s="26">
        <v>134790</v>
      </c>
      <c r="J17" s="26" t="s">
        <v>1195</v>
      </c>
      <c r="K17" s="26" t="s">
        <v>368</v>
      </c>
      <c r="L17" s="27"/>
      <c r="M17" s="3" t="s">
        <v>1196</v>
      </c>
      <c r="N17" s="3">
        <v>93916</v>
      </c>
      <c r="O17" s="3">
        <v>100000</v>
      </c>
      <c r="R17" s="3" t="s">
        <v>1197</v>
      </c>
      <c r="S17" s="3">
        <v>93916</v>
      </c>
      <c r="W17" s="3" t="s">
        <v>1198</v>
      </c>
      <c r="X17" s="3">
        <v>46958</v>
      </c>
    </row>
    <row r="18" s="17" customFormat="1" spans="1:24">
      <c r="A18" s="17" t="s">
        <v>1136</v>
      </c>
      <c r="B18" s="22" t="s">
        <v>1199</v>
      </c>
      <c r="C18" s="22" t="s">
        <v>438</v>
      </c>
      <c r="D18" s="22" t="s">
        <v>1200</v>
      </c>
      <c r="E18" s="22" t="s">
        <v>440</v>
      </c>
      <c r="F18" s="52">
        <v>42856</v>
      </c>
      <c r="G18" s="52">
        <v>43220</v>
      </c>
      <c r="H18" s="22">
        <v>22000</v>
      </c>
      <c r="I18" s="22">
        <v>0</v>
      </c>
      <c r="J18" s="22" t="s">
        <v>1124</v>
      </c>
      <c r="K18" s="22"/>
      <c r="L18" s="22"/>
      <c r="M18" s="17" t="s">
        <v>1201</v>
      </c>
      <c r="N18" s="17">
        <v>6600</v>
      </c>
      <c r="O18" s="17">
        <v>19800</v>
      </c>
      <c r="P18" s="17">
        <v>22000</v>
      </c>
      <c r="R18" s="17" t="s">
        <v>1202</v>
      </c>
      <c r="S18" s="17">
        <v>13200</v>
      </c>
      <c r="T18" s="17">
        <v>2200</v>
      </c>
      <c r="U18" s="17">
        <v>2200</v>
      </c>
      <c r="W18" s="17" t="s">
        <v>1203</v>
      </c>
      <c r="X18" s="17">
        <v>2200</v>
      </c>
    </row>
    <row r="19" s="17" customFormat="1" spans="1:21">
      <c r="A19" s="17" t="s">
        <v>1204</v>
      </c>
      <c r="B19" s="22" t="s">
        <v>1205</v>
      </c>
      <c r="C19" s="23" t="s">
        <v>1206</v>
      </c>
      <c r="D19" s="17" t="s">
        <v>1207</v>
      </c>
      <c r="E19" s="22" t="s">
        <v>1208</v>
      </c>
      <c r="F19" s="52">
        <v>42856</v>
      </c>
      <c r="G19" s="52">
        <v>43220</v>
      </c>
      <c r="H19" s="22">
        <v>20000</v>
      </c>
      <c r="I19" s="22">
        <v>0</v>
      </c>
      <c r="J19" s="22" t="s">
        <v>1124</v>
      </c>
      <c r="K19" s="22"/>
      <c r="L19" s="22"/>
      <c r="M19" s="17" t="s">
        <v>1209</v>
      </c>
      <c r="N19" s="17">
        <v>10000</v>
      </c>
      <c r="O19" s="17">
        <v>10000</v>
      </c>
      <c r="P19" s="17">
        <v>10000</v>
      </c>
      <c r="R19" s="17" t="s">
        <v>1210</v>
      </c>
      <c r="S19" s="17">
        <v>10000</v>
      </c>
      <c r="T19" s="17">
        <v>10000</v>
      </c>
      <c r="U19" s="17">
        <v>10000</v>
      </c>
    </row>
    <row r="20" s="17" customFormat="1" spans="2:16">
      <c r="B20" s="22" t="s">
        <v>1205</v>
      </c>
      <c r="C20" s="54" t="s">
        <v>1206</v>
      </c>
      <c r="E20" s="22" t="s">
        <v>1211</v>
      </c>
      <c r="F20" s="52"/>
      <c r="G20" s="52"/>
      <c r="H20" s="22">
        <v>41000</v>
      </c>
      <c r="I20" s="22"/>
      <c r="J20" s="22"/>
      <c r="K20" s="22"/>
      <c r="L20" s="22"/>
      <c r="O20" s="66">
        <v>41000</v>
      </c>
      <c r="P20" s="66">
        <v>41000</v>
      </c>
    </row>
    <row r="21" s="17" customFormat="1" spans="1:19">
      <c r="A21" s="17" t="s">
        <v>1121</v>
      </c>
      <c r="B21" s="22" t="s">
        <v>1212</v>
      </c>
      <c r="C21" s="22" t="s">
        <v>365</v>
      </c>
      <c r="D21" s="17" t="s">
        <v>1213</v>
      </c>
      <c r="E21" s="22" t="s">
        <v>1214</v>
      </c>
      <c r="F21" s="52">
        <v>42856</v>
      </c>
      <c r="G21" s="52">
        <v>42863</v>
      </c>
      <c r="H21" s="22">
        <v>32000</v>
      </c>
      <c r="I21" s="22">
        <v>0</v>
      </c>
      <c r="J21" s="22" t="s">
        <v>1124</v>
      </c>
      <c r="K21" s="22"/>
      <c r="L21" s="22"/>
      <c r="M21" s="17" t="s">
        <v>1215</v>
      </c>
      <c r="N21" s="17">
        <v>16000</v>
      </c>
      <c r="O21" s="17">
        <v>32000</v>
      </c>
      <c r="P21" s="17">
        <v>32000</v>
      </c>
      <c r="R21" s="17" t="s">
        <v>1216</v>
      </c>
      <c r="S21" s="17">
        <v>16000</v>
      </c>
    </row>
    <row r="22" s="17" customFormat="1" spans="1:24">
      <c r="A22" s="17" t="s">
        <v>1136</v>
      </c>
      <c r="B22" s="22" t="s">
        <v>1217</v>
      </c>
      <c r="C22" s="22" t="s">
        <v>422</v>
      </c>
      <c r="D22" s="17" t="s">
        <v>1218</v>
      </c>
      <c r="E22" s="22" t="s">
        <v>424</v>
      </c>
      <c r="F22" s="52">
        <v>42856</v>
      </c>
      <c r="G22" s="18">
        <v>43220</v>
      </c>
      <c r="H22" s="22">
        <v>20000</v>
      </c>
      <c r="I22" s="22">
        <v>0</v>
      </c>
      <c r="J22" s="22" t="s">
        <v>1124</v>
      </c>
      <c r="K22" s="22"/>
      <c r="L22" s="22"/>
      <c r="M22" s="17" t="s">
        <v>1219</v>
      </c>
      <c r="N22" s="17">
        <v>6000</v>
      </c>
      <c r="O22" s="17">
        <v>20000</v>
      </c>
      <c r="P22" s="17">
        <v>20000</v>
      </c>
      <c r="R22" s="17" t="s">
        <v>1220</v>
      </c>
      <c r="S22" s="17">
        <v>10000</v>
      </c>
      <c r="W22" s="17" t="s">
        <v>1221</v>
      </c>
      <c r="X22" s="17">
        <v>4000</v>
      </c>
    </row>
    <row r="23" s="17" customFormat="1" spans="1:21">
      <c r="A23" s="17" t="s">
        <v>1222</v>
      </c>
      <c r="B23" s="22" t="s">
        <v>1212</v>
      </c>
      <c r="C23" s="22" t="s">
        <v>365</v>
      </c>
      <c r="D23" s="17" t="s">
        <v>1223</v>
      </c>
      <c r="E23" s="22" t="s">
        <v>1224</v>
      </c>
      <c r="F23" s="52">
        <v>42858</v>
      </c>
      <c r="G23" s="52">
        <v>43222</v>
      </c>
      <c r="H23" s="22">
        <v>32000</v>
      </c>
      <c r="I23" s="22">
        <v>0</v>
      </c>
      <c r="J23" s="22" t="s">
        <v>1124</v>
      </c>
      <c r="K23" s="22"/>
      <c r="L23" s="22"/>
      <c r="M23" s="17" t="s">
        <v>1225</v>
      </c>
      <c r="N23" s="17">
        <v>16000</v>
      </c>
      <c r="O23" s="17">
        <v>16000</v>
      </c>
      <c r="P23" s="17">
        <v>16000</v>
      </c>
      <c r="R23" s="17" t="s">
        <v>1226</v>
      </c>
      <c r="S23" s="17">
        <v>16000</v>
      </c>
      <c r="T23" s="17">
        <v>16000</v>
      </c>
      <c r="U23" s="17">
        <v>16000</v>
      </c>
    </row>
    <row r="24" s="17" customFormat="1" spans="1:19">
      <c r="A24" s="17" t="s">
        <v>1227</v>
      </c>
      <c r="B24" s="22" t="s">
        <v>1004</v>
      </c>
      <c r="C24" s="22" t="s">
        <v>559</v>
      </c>
      <c r="D24" s="17" t="s">
        <v>1228</v>
      </c>
      <c r="E24" s="22" t="s">
        <v>1229</v>
      </c>
      <c r="F24" s="52">
        <v>42860</v>
      </c>
      <c r="G24" s="52">
        <v>43224</v>
      </c>
      <c r="H24" s="22">
        <v>12000</v>
      </c>
      <c r="I24" s="22">
        <v>0</v>
      </c>
      <c r="J24" s="22" t="s">
        <v>1124</v>
      </c>
      <c r="K24" s="22"/>
      <c r="L24" s="22"/>
      <c r="M24" s="17" t="s">
        <v>1230</v>
      </c>
      <c r="N24" s="17">
        <v>6000</v>
      </c>
      <c r="O24" s="17">
        <v>12000</v>
      </c>
      <c r="P24" s="17">
        <v>12000</v>
      </c>
      <c r="R24" s="17" t="s">
        <v>1231</v>
      </c>
      <c r="S24" s="17">
        <v>6000</v>
      </c>
    </row>
    <row r="25" s="17" customFormat="1" spans="1:21">
      <c r="A25" s="17" t="s">
        <v>1121</v>
      </c>
      <c r="B25" s="22" t="s">
        <v>1014</v>
      </c>
      <c r="C25" s="22" t="s">
        <v>538</v>
      </c>
      <c r="D25" s="22" t="s">
        <v>1232</v>
      </c>
      <c r="E25" s="22" t="s">
        <v>1233</v>
      </c>
      <c r="F25" s="55">
        <v>42863</v>
      </c>
      <c r="G25" s="52">
        <v>42873</v>
      </c>
      <c r="H25" s="22">
        <v>25000</v>
      </c>
      <c r="I25" s="22">
        <v>0</v>
      </c>
      <c r="J25" s="22" t="s">
        <v>1124</v>
      </c>
      <c r="K25" s="22"/>
      <c r="L25" s="22"/>
      <c r="M25" s="17" t="s">
        <v>1234</v>
      </c>
      <c r="N25" s="17">
        <v>12500</v>
      </c>
      <c r="O25" s="17">
        <v>12500</v>
      </c>
      <c r="R25" s="17" t="s">
        <v>1235</v>
      </c>
      <c r="S25" s="17">
        <v>12500</v>
      </c>
      <c r="T25" s="17">
        <v>12500</v>
      </c>
      <c r="U25" s="17">
        <v>25000</v>
      </c>
    </row>
    <row r="26" s="48" customFormat="1" spans="1:19">
      <c r="A26" s="48" t="s">
        <v>1236</v>
      </c>
      <c r="B26" s="56" t="s">
        <v>1237</v>
      </c>
      <c r="C26" s="56" t="s">
        <v>1238</v>
      </c>
      <c r="D26" s="48" t="s">
        <v>1239</v>
      </c>
      <c r="E26" s="56" t="s">
        <v>1240</v>
      </c>
      <c r="F26" s="57">
        <v>42865</v>
      </c>
      <c r="G26" s="57">
        <v>43229</v>
      </c>
      <c r="H26" s="56">
        <v>18000</v>
      </c>
      <c r="I26" s="56">
        <v>18000</v>
      </c>
      <c r="J26" s="56" t="s">
        <v>1241</v>
      </c>
      <c r="K26" s="56" t="s">
        <v>1242</v>
      </c>
      <c r="L26" s="56"/>
      <c r="M26" s="48" t="s">
        <v>1243</v>
      </c>
      <c r="N26" s="48">
        <v>9000</v>
      </c>
      <c r="R26" s="48" t="s">
        <v>1244</v>
      </c>
      <c r="S26" s="48">
        <v>9000</v>
      </c>
    </row>
    <row r="27" s="14" customFormat="1" spans="1:19">
      <c r="A27" s="14" t="s">
        <v>1121</v>
      </c>
      <c r="B27" s="58" t="s">
        <v>1245</v>
      </c>
      <c r="C27" s="58" t="s">
        <v>1246</v>
      </c>
      <c r="D27" s="14" t="s">
        <v>1247</v>
      </c>
      <c r="E27" s="58" t="s">
        <v>1248</v>
      </c>
      <c r="F27" s="59">
        <v>42867</v>
      </c>
      <c r="G27" s="59">
        <v>43231</v>
      </c>
      <c r="H27" s="58">
        <v>17350</v>
      </c>
      <c r="I27" s="58" t="s">
        <v>1249</v>
      </c>
      <c r="J27" s="58"/>
      <c r="K27" s="58"/>
      <c r="L27" s="58"/>
      <c r="M27" s="14" t="s">
        <v>1250</v>
      </c>
      <c r="N27" s="14">
        <v>8675</v>
      </c>
      <c r="R27" s="14" t="s">
        <v>1251</v>
      </c>
      <c r="S27" s="14">
        <v>8675</v>
      </c>
    </row>
    <row r="28" s="14" customFormat="1" spans="1:14">
      <c r="A28" s="14" t="s">
        <v>1121</v>
      </c>
      <c r="B28" s="58" t="s">
        <v>1252</v>
      </c>
      <c r="C28" s="58" t="s">
        <v>1253</v>
      </c>
      <c r="D28" s="14" t="s">
        <v>1254</v>
      </c>
      <c r="E28" s="58" t="s">
        <v>1255</v>
      </c>
      <c r="F28" s="59">
        <v>42888</v>
      </c>
      <c r="G28" s="59">
        <v>42902</v>
      </c>
      <c r="H28" s="58">
        <v>15000</v>
      </c>
      <c r="I28" s="58" t="s">
        <v>1249</v>
      </c>
      <c r="J28" s="58"/>
      <c r="K28" s="58"/>
      <c r="L28" s="58"/>
      <c r="M28" s="14" t="s">
        <v>1256</v>
      </c>
      <c r="N28" s="14">
        <v>15000</v>
      </c>
    </row>
    <row r="29" s="14" customFormat="1" spans="1:42">
      <c r="A29" s="14" t="s">
        <v>1121</v>
      </c>
      <c r="B29" s="58" t="s">
        <v>1252</v>
      </c>
      <c r="C29" s="58" t="s">
        <v>1253</v>
      </c>
      <c r="D29" s="14" t="s">
        <v>1257</v>
      </c>
      <c r="E29" s="58" t="s">
        <v>1258</v>
      </c>
      <c r="F29" s="59">
        <v>42903</v>
      </c>
      <c r="G29" s="59">
        <v>42910</v>
      </c>
      <c r="H29" s="58">
        <v>14000</v>
      </c>
      <c r="I29" s="58" t="s">
        <v>1249</v>
      </c>
      <c r="J29" s="58"/>
      <c r="K29" s="58"/>
      <c r="L29" s="58"/>
      <c r="M29" s="14" t="s">
        <v>1259</v>
      </c>
      <c r="N29" s="14">
        <v>14000</v>
      </c>
      <c r="AP29" s="14" t="s">
        <v>1260</v>
      </c>
    </row>
    <row r="30" s="17" customFormat="1" spans="1:26">
      <c r="A30" s="17" t="s">
        <v>1236</v>
      </c>
      <c r="B30" s="22" t="s">
        <v>1261</v>
      </c>
      <c r="C30" s="22" t="s">
        <v>1262</v>
      </c>
      <c r="D30" s="17" t="s">
        <v>1263</v>
      </c>
      <c r="E30" s="22" t="s">
        <v>720</v>
      </c>
      <c r="F30" s="52">
        <v>42875</v>
      </c>
      <c r="G30" s="52">
        <v>43239</v>
      </c>
      <c r="H30" s="22">
        <v>16000</v>
      </c>
      <c r="I30" s="22">
        <v>0</v>
      </c>
      <c r="J30" s="22" t="s">
        <v>1124</v>
      </c>
      <c r="K30" s="22"/>
      <c r="L30" s="22"/>
      <c r="M30" s="17" t="s">
        <v>1264</v>
      </c>
      <c r="N30" s="17">
        <v>4800</v>
      </c>
      <c r="O30" s="17">
        <v>11200</v>
      </c>
      <c r="P30" s="17">
        <v>4800</v>
      </c>
      <c r="R30" s="17" t="s">
        <v>1265</v>
      </c>
      <c r="S30" s="17">
        <v>6400</v>
      </c>
      <c r="U30" s="17">
        <v>6400</v>
      </c>
      <c r="W30" s="17" t="s">
        <v>1266</v>
      </c>
      <c r="X30" s="17">
        <v>4800</v>
      </c>
      <c r="Y30" s="17">
        <v>4800</v>
      </c>
      <c r="Z30" s="17">
        <v>4800</v>
      </c>
    </row>
    <row r="31" s="3" customFormat="1" spans="1:19">
      <c r="A31" s="3" t="s">
        <v>1121</v>
      </c>
      <c r="B31" s="26" t="s">
        <v>1267</v>
      </c>
      <c r="C31" s="26" t="s">
        <v>725</v>
      </c>
      <c r="E31" s="27" t="s">
        <v>1268</v>
      </c>
      <c r="F31" s="53">
        <v>42876</v>
      </c>
      <c r="G31" s="53">
        <v>42890</v>
      </c>
      <c r="H31" s="27">
        <v>192000</v>
      </c>
      <c r="I31" s="26">
        <v>9600</v>
      </c>
      <c r="J31" s="26" t="s">
        <v>1269</v>
      </c>
      <c r="K31" s="26" t="s">
        <v>1195</v>
      </c>
      <c r="L31" s="27"/>
      <c r="M31" s="3" t="s">
        <v>1270</v>
      </c>
      <c r="N31" s="3">
        <v>182400</v>
      </c>
      <c r="O31" s="3">
        <v>182400</v>
      </c>
      <c r="P31" s="3">
        <f>91200*2</f>
        <v>182400</v>
      </c>
      <c r="R31" s="3" t="s">
        <v>1271</v>
      </c>
      <c r="S31" s="3">
        <v>9600</v>
      </c>
    </row>
    <row r="32" s="17" customFormat="1" spans="1:21">
      <c r="A32" s="17" t="s">
        <v>1121</v>
      </c>
      <c r="B32" s="22" t="s">
        <v>1272</v>
      </c>
      <c r="C32" s="22" t="s">
        <v>1273</v>
      </c>
      <c r="E32" s="22" t="s">
        <v>1274</v>
      </c>
      <c r="F32" s="52">
        <v>42886</v>
      </c>
      <c r="G32" s="52">
        <v>42906</v>
      </c>
      <c r="H32" s="22">
        <v>58000</v>
      </c>
      <c r="I32" s="22">
        <v>0</v>
      </c>
      <c r="J32" s="22" t="s">
        <v>1124</v>
      </c>
      <c r="K32" s="22"/>
      <c r="L32" s="22"/>
      <c r="M32" s="17" t="s">
        <v>1275</v>
      </c>
      <c r="N32" s="17">
        <v>52200</v>
      </c>
      <c r="O32" s="17">
        <v>52200</v>
      </c>
      <c r="P32" s="17">
        <v>58000</v>
      </c>
      <c r="R32" s="17" t="s">
        <v>1276</v>
      </c>
      <c r="S32" s="17">
        <v>5800</v>
      </c>
      <c r="T32" s="17">
        <v>5800</v>
      </c>
      <c r="U32" s="17">
        <v>5800</v>
      </c>
    </row>
    <row r="33" s="17" customFormat="1" spans="1:21">
      <c r="A33" s="17" t="s">
        <v>1121</v>
      </c>
      <c r="B33" s="22" t="s">
        <v>1277</v>
      </c>
      <c r="C33" s="22" t="s">
        <v>1278</v>
      </c>
      <c r="D33" s="17" t="s">
        <v>1279</v>
      </c>
      <c r="E33" s="22" t="s">
        <v>1280</v>
      </c>
      <c r="F33" s="52">
        <v>42887</v>
      </c>
      <c r="G33" s="52">
        <v>42947</v>
      </c>
      <c r="H33" s="22">
        <v>14000</v>
      </c>
      <c r="I33" s="22">
        <v>0</v>
      </c>
      <c r="J33" s="22" t="s">
        <v>1124</v>
      </c>
      <c r="K33" s="22"/>
      <c r="L33" s="22"/>
      <c r="M33" s="17" t="s">
        <v>1281</v>
      </c>
      <c r="N33" s="17">
        <v>4200</v>
      </c>
      <c r="O33" s="17">
        <v>4200</v>
      </c>
      <c r="P33" s="17">
        <v>4200</v>
      </c>
      <c r="R33" s="17" t="s">
        <v>1282</v>
      </c>
      <c r="S33" s="17">
        <v>9800</v>
      </c>
      <c r="T33" s="17">
        <v>9800</v>
      </c>
      <c r="U33" s="17">
        <v>9800</v>
      </c>
    </row>
    <row r="34" s="3" customFormat="1" spans="1:24">
      <c r="A34" s="3" t="s">
        <v>1222</v>
      </c>
      <c r="B34" s="26" t="s">
        <v>1277</v>
      </c>
      <c r="C34" s="26" t="s">
        <v>1278</v>
      </c>
      <c r="D34" s="3" t="s">
        <v>1283</v>
      </c>
      <c r="E34" s="27" t="s">
        <v>1284</v>
      </c>
      <c r="F34" s="53">
        <v>42887</v>
      </c>
      <c r="G34" s="53">
        <v>43251</v>
      </c>
      <c r="H34" s="27">
        <v>14000</v>
      </c>
      <c r="I34" s="26">
        <v>5600</v>
      </c>
      <c r="J34" s="26" t="s">
        <v>1285</v>
      </c>
      <c r="K34" s="26" t="s">
        <v>1195</v>
      </c>
      <c r="L34" s="27"/>
      <c r="M34" s="3" t="s">
        <v>1281</v>
      </c>
      <c r="N34" s="3">
        <v>4200</v>
      </c>
      <c r="O34" s="3">
        <v>4200</v>
      </c>
      <c r="P34" s="3">
        <v>4200</v>
      </c>
      <c r="R34" s="3" t="s">
        <v>1286</v>
      </c>
      <c r="S34" s="3">
        <v>4200</v>
      </c>
      <c r="T34" s="3">
        <v>4200</v>
      </c>
      <c r="U34" s="3">
        <v>4200</v>
      </c>
      <c r="W34" s="3" t="s">
        <v>1287</v>
      </c>
      <c r="X34" s="3">
        <v>5600</v>
      </c>
    </row>
    <row r="35" s="17" customFormat="1" spans="1:26">
      <c r="A35" s="17" t="s">
        <v>1288</v>
      </c>
      <c r="B35" s="22" t="s">
        <v>543</v>
      </c>
      <c r="C35" s="22" t="s">
        <v>1289</v>
      </c>
      <c r="D35" s="17" t="s">
        <v>1290</v>
      </c>
      <c r="E35" s="22" t="s">
        <v>1240</v>
      </c>
      <c r="F35" s="55">
        <v>42887</v>
      </c>
      <c r="G35" s="52">
        <v>43251</v>
      </c>
      <c r="H35" s="22">
        <v>16000</v>
      </c>
      <c r="I35" s="22">
        <v>0</v>
      </c>
      <c r="J35" s="22" t="s">
        <v>1124</v>
      </c>
      <c r="K35" s="22"/>
      <c r="L35" s="22"/>
      <c r="M35" s="17" t="s">
        <v>1291</v>
      </c>
      <c r="N35" s="17">
        <v>6400</v>
      </c>
      <c r="P35" s="17">
        <v>9600</v>
      </c>
      <c r="R35" s="17" t="s">
        <v>1292</v>
      </c>
      <c r="S35" s="17">
        <v>6400</v>
      </c>
      <c r="T35" s="17">
        <v>6400</v>
      </c>
      <c r="U35" s="17">
        <v>6400</v>
      </c>
      <c r="W35" s="17" t="s">
        <v>1293</v>
      </c>
      <c r="X35" s="17">
        <v>3200</v>
      </c>
      <c r="Y35" s="17">
        <v>3200</v>
      </c>
      <c r="Z35" s="17">
        <v>3200</v>
      </c>
    </row>
    <row r="36" s="17" customFormat="1" spans="1:26">
      <c r="A36" s="17" t="s">
        <v>1294</v>
      </c>
      <c r="B36" s="22" t="s">
        <v>1005</v>
      </c>
      <c r="C36" s="22" t="s">
        <v>1295</v>
      </c>
      <c r="D36" s="17" t="s">
        <v>1296</v>
      </c>
      <c r="E36" s="22" t="s">
        <v>1297</v>
      </c>
      <c r="F36" s="52">
        <v>42887</v>
      </c>
      <c r="G36" s="52">
        <v>43251</v>
      </c>
      <c r="H36" s="22">
        <v>44000</v>
      </c>
      <c r="I36" s="22">
        <v>0</v>
      </c>
      <c r="J36" s="22" t="s">
        <v>1124</v>
      </c>
      <c r="K36" s="22"/>
      <c r="L36" s="22"/>
      <c r="M36" s="17" t="s">
        <v>1298</v>
      </c>
      <c r="N36" s="17">
        <v>13200</v>
      </c>
      <c r="O36" s="17">
        <v>13200</v>
      </c>
      <c r="P36" s="17">
        <v>13200</v>
      </c>
      <c r="R36" s="17" t="s">
        <v>1299</v>
      </c>
      <c r="S36" s="17">
        <v>26400</v>
      </c>
      <c r="T36" s="17">
        <v>26400</v>
      </c>
      <c r="U36" s="17">
        <v>26400</v>
      </c>
      <c r="W36" s="17" t="s">
        <v>1300</v>
      </c>
      <c r="X36" s="17">
        <v>4400</v>
      </c>
      <c r="Y36" s="17">
        <v>4400</v>
      </c>
      <c r="Z36" s="17">
        <v>4400</v>
      </c>
    </row>
    <row r="37" s="3" customFormat="1" spans="1:29">
      <c r="A37" s="60" t="s">
        <v>1301</v>
      </c>
      <c r="B37" s="27" t="s">
        <v>1302</v>
      </c>
      <c r="C37" s="27" t="s">
        <v>1303</v>
      </c>
      <c r="D37" s="3" t="s">
        <v>1304</v>
      </c>
      <c r="E37" s="27" t="s">
        <v>1305</v>
      </c>
      <c r="F37" s="53">
        <v>42888</v>
      </c>
      <c r="G37" s="53">
        <v>43252</v>
      </c>
      <c r="H37" s="27">
        <v>256280</v>
      </c>
      <c r="I37" s="27"/>
      <c r="J37" s="27"/>
      <c r="K37" s="27"/>
      <c r="L37" s="27"/>
      <c r="M37" s="3" t="s">
        <v>1306</v>
      </c>
      <c r="N37" s="3">
        <v>158950</v>
      </c>
      <c r="R37" s="3" t="s">
        <v>1307</v>
      </c>
      <c r="S37" s="3">
        <v>7125</v>
      </c>
      <c r="W37" s="3" t="s">
        <v>1308</v>
      </c>
      <c r="X37" s="3">
        <v>7125</v>
      </c>
      <c r="AB37" s="3" t="s">
        <v>1309</v>
      </c>
      <c r="AC37" s="3">
        <v>83080</v>
      </c>
    </row>
    <row r="38" s="3" customFormat="1" spans="1:29">
      <c r="A38" s="60" t="s">
        <v>1301</v>
      </c>
      <c r="B38" s="27" t="s">
        <v>1310</v>
      </c>
      <c r="C38" s="27" t="s">
        <v>1303</v>
      </c>
      <c r="D38" s="3" t="s">
        <v>1311</v>
      </c>
      <c r="E38" s="27" t="s">
        <v>1312</v>
      </c>
      <c r="F38" s="53">
        <v>42888</v>
      </c>
      <c r="G38" s="53">
        <v>43252</v>
      </c>
      <c r="H38" s="27">
        <v>31720</v>
      </c>
      <c r="I38" s="27"/>
      <c r="J38" s="27"/>
      <c r="K38" s="27"/>
      <c r="L38" s="27"/>
      <c r="M38" s="3" t="s">
        <v>1313</v>
      </c>
      <c r="N38" s="3">
        <v>7176</v>
      </c>
      <c r="R38" s="3" t="s">
        <v>1314</v>
      </c>
      <c r="S38" s="3">
        <v>7176</v>
      </c>
      <c r="W38" s="3" t="s">
        <v>1315</v>
      </c>
      <c r="X38" s="3">
        <v>9568</v>
      </c>
      <c r="AB38" s="3" t="s">
        <v>1316</v>
      </c>
      <c r="AC38" s="3">
        <v>7800</v>
      </c>
    </row>
    <row r="39" s="17" customFormat="1" spans="1:16">
      <c r="A39" s="17" t="s">
        <v>1121</v>
      </c>
      <c r="B39" s="22" t="s">
        <v>644</v>
      </c>
      <c r="C39" s="22" t="s">
        <v>1317</v>
      </c>
      <c r="D39" s="17" t="s">
        <v>1318</v>
      </c>
      <c r="E39" s="22" t="s">
        <v>1319</v>
      </c>
      <c r="F39" s="52">
        <v>42901</v>
      </c>
      <c r="G39" s="52">
        <v>42916</v>
      </c>
      <c r="H39" s="22">
        <v>50000</v>
      </c>
      <c r="I39" s="22">
        <v>0</v>
      </c>
      <c r="J39" s="22" t="s">
        <v>1124</v>
      </c>
      <c r="K39" s="22"/>
      <c r="L39" s="22"/>
      <c r="M39" s="17" t="s">
        <v>1320</v>
      </c>
      <c r="N39" s="17">
        <v>50000</v>
      </c>
      <c r="O39" s="17">
        <v>50000</v>
      </c>
      <c r="P39" s="17">
        <v>50000</v>
      </c>
    </row>
    <row r="40" s="17" customFormat="1" spans="1:21">
      <c r="A40" s="17" t="s">
        <v>1121</v>
      </c>
      <c r="B40" s="22" t="s">
        <v>1015</v>
      </c>
      <c r="C40" s="22" t="s">
        <v>1321</v>
      </c>
      <c r="D40" s="22" t="s">
        <v>1322</v>
      </c>
      <c r="E40" s="22" t="s">
        <v>1323</v>
      </c>
      <c r="F40" s="52">
        <v>42921</v>
      </c>
      <c r="G40" s="52">
        <v>43104</v>
      </c>
      <c r="H40" s="22">
        <v>100000</v>
      </c>
      <c r="I40" s="22">
        <v>0</v>
      </c>
      <c r="J40" s="22" t="s">
        <v>1124</v>
      </c>
      <c r="K40" s="22"/>
      <c r="L40" s="22"/>
      <c r="M40" s="17" t="s">
        <v>1324</v>
      </c>
      <c r="N40" s="17">
        <v>50000</v>
      </c>
      <c r="O40" s="17">
        <v>50000</v>
      </c>
      <c r="P40" s="17">
        <v>50000</v>
      </c>
      <c r="R40" s="17" t="s">
        <v>1325</v>
      </c>
      <c r="S40" s="17">
        <v>50000</v>
      </c>
      <c r="T40" s="17">
        <v>50000</v>
      </c>
      <c r="U40" s="17">
        <v>50000</v>
      </c>
    </row>
    <row r="41" s="17" customFormat="1" spans="1:16">
      <c r="A41" s="17" t="s">
        <v>1121</v>
      </c>
      <c r="B41" s="22" t="s">
        <v>316</v>
      </c>
      <c r="C41" s="22" t="s">
        <v>1326</v>
      </c>
      <c r="D41" s="22" t="s">
        <v>1327</v>
      </c>
      <c r="E41" s="22" t="s">
        <v>1328</v>
      </c>
      <c r="F41" s="52">
        <v>42921</v>
      </c>
      <c r="G41" s="52">
        <v>43013</v>
      </c>
      <c r="H41" s="22">
        <v>12000</v>
      </c>
      <c r="I41" s="22">
        <v>0</v>
      </c>
      <c r="J41" s="22" t="s">
        <v>1124</v>
      </c>
      <c r="K41" s="22"/>
      <c r="L41" s="22"/>
      <c r="M41" s="17" t="s">
        <v>1329</v>
      </c>
      <c r="N41" s="17">
        <v>12000</v>
      </c>
      <c r="O41" s="17">
        <v>12000</v>
      </c>
      <c r="P41" s="17">
        <v>12000</v>
      </c>
    </row>
    <row r="42" s="17" customFormat="1" spans="1:42">
      <c r="A42" s="17" t="s">
        <v>1121</v>
      </c>
      <c r="B42" s="22" t="s">
        <v>1014</v>
      </c>
      <c r="C42" s="22" t="s">
        <v>538</v>
      </c>
      <c r="D42" s="17" t="s">
        <v>1330</v>
      </c>
      <c r="E42" s="22" t="s">
        <v>1331</v>
      </c>
      <c r="F42" s="52">
        <v>42933</v>
      </c>
      <c r="G42" s="52">
        <v>43297</v>
      </c>
      <c r="H42" s="22">
        <v>49200</v>
      </c>
      <c r="I42" s="22">
        <v>0</v>
      </c>
      <c r="J42" s="22" t="s">
        <v>1124</v>
      </c>
      <c r="K42" s="22"/>
      <c r="L42" s="22"/>
      <c r="M42" s="17" t="s">
        <v>1332</v>
      </c>
      <c r="N42" s="17">
        <v>24600</v>
      </c>
      <c r="O42" s="17">
        <v>24600</v>
      </c>
      <c r="P42" s="17">
        <v>24600</v>
      </c>
      <c r="R42" s="17" t="s">
        <v>1333</v>
      </c>
      <c r="S42" s="17">
        <v>24600</v>
      </c>
      <c r="T42" s="17">
        <v>24600</v>
      </c>
      <c r="U42" s="17">
        <v>24600</v>
      </c>
      <c r="AP42" s="17" t="s">
        <v>1334</v>
      </c>
    </row>
    <row r="43" s="17" customFormat="1" spans="1:42">
      <c r="A43" s="17" t="s">
        <v>1294</v>
      </c>
      <c r="B43" s="22" t="s">
        <v>1014</v>
      </c>
      <c r="C43" s="22" t="s">
        <v>538</v>
      </c>
      <c r="D43" s="17" t="s">
        <v>1335</v>
      </c>
      <c r="E43" s="22" t="s">
        <v>1336</v>
      </c>
      <c r="F43" s="52">
        <v>42933</v>
      </c>
      <c r="G43" s="52">
        <v>42948</v>
      </c>
      <c r="H43" s="22">
        <v>38600</v>
      </c>
      <c r="I43" s="22">
        <v>0</v>
      </c>
      <c r="J43" s="22" t="s">
        <v>1124</v>
      </c>
      <c r="K43" s="22"/>
      <c r="L43" s="22"/>
      <c r="M43" s="17" t="s">
        <v>1332</v>
      </c>
      <c r="N43" s="17">
        <v>19300</v>
      </c>
      <c r="O43" s="17">
        <v>19300</v>
      </c>
      <c r="P43" s="17">
        <v>19300</v>
      </c>
      <c r="R43" s="17" t="s">
        <v>1337</v>
      </c>
      <c r="S43" s="17">
        <v>17370</v>
      </c>
      <c r="T43" s="17">
        <v>17370</v>
      </c>
      <c r="U43" s="17">
        <v>17370</v>
      </c>
      <c r="W43" s="17" t="s">
        <v>1338</v>
      </c>
      <c r="X43" s="17">
        <v>1930</v>
      </c>
      <c r="Y43" s="17">
        <v>1930</v>
      </c>
      <c r="Z43" s="17">
        <v>1930</v>
      </c>
      <c r="AP43" s="17" t="s">
        <v>1339</v>
      </c>
    </row>
    <row r="44" s="17" customFormat="1" spans="1:21">
      <c r="A44" s="17" t="s">
        <v>1294</v>
      </c>
      <c r="B44" s="22" t="s">
        <v>236</v>
      </c>
      <c r="C44" s="22" t="s">
        <v>237</v>
      </c>
      <c r="D44" s="17" t="s">
        <v>1340</v>
      </c>
      <c r="E44" s="22" t="s">
        <v>1240</v>
      </c>
      <c r="F44" s="52">
        <v>42934</v>
      </c>
      <c r="G44" s="52">
        <v>43298</v>
      </c>
      <c r="H44" s="22">
        <v>16000</v>
      </c>
      <c r="I44" s="22">
        <v>0</v>
      </c>
      <c r="J44" s="22" t="s">
        <v>1124</v>
      </c>
      <c r="K44" s="22"/>
      <c r="L44" s="22"/>
      <c r="M44" s="17" t="s">
        <v>1341</v>
      </c>
      <c r="N44" s="17">
        <v>8000</v>
      </c>
      <c r="O44" s="17">
        <v>8000</v>
      </c>
      <c r="P44" s="17">
        <v>8000</v>
      </c>
      <c r="R44" s="17" t="s">
        <v>1342</v>
      </c>
      <c r="S44" s="17">
        <v>8000</v>
      </c>
      <c r="T44" s="17">
        <v>8000</v>
      </c>
      <c r="U44" s="17">
        <v>8000</v>
      </c>
    </row>
    <row r="45" s="3" customFormat="1" spans="1:19">
      <c r="A45" s="3" t="s">
        <v>1121</v>
      </c>
      <c r="B45" s="26" t="s">
        <v>1343</v>
      </c>
      <c r="C45" s="26" t="s">
        <v>1344</v>
      </c>
      <c r="E45" s="27" t="s">
        <v>1345</v>
      </c>
      <c r="F45" s="53">
        <v>42941</v>
      </c>
      <c r="G45" s="61">
        <v>46592</v>
      </c>
      <c r="H45" s="27">
        <v>100000</v>
      </c>
      <c r="I45" s="26">
        <v>50000</v>
      </c>
      <c r="J45" s="26" t="s">
        <v>1346</v>
      </c>
      <c r="K45" s="26" t="s">
        <v>1195</v>
      </c>
      <c r="L45" s="27"/>
      <c r="M45" s="3" t="s">
        <v>1347</v>
      </c>
      <c r="N45" s="3">
        <v>50000</v>
      </c>
      <c r="O45" s="3">
        <v>50000</v>
      </c>
      <c r="R45" s="3" t="s">
        <v>1348</v>
      </c>
      <c r="S45" s="3">
        <v>50000</v>
      </c>
    </row>
    <row r="46" s="17" customFormat="1" spans="1:26">
      <c r="A46" s="17" t="s">
        <v>1294</v>
      </c>
      <c r="B46" s="22" t="s">
        <v>733</v>
      </c>
      <c r="C46" s="22" t="s">
        <v>734</v>
      </c>
      <c r="D46" s="22" t="s">
        <v>1349</v>
      </c>
      <c r="E46" s="22" t="s">
        <v>1240</v>
      </c>
      <c r="F46" s="52">
        <v>42948</v>
      </c>
      <c r="G46" s="52">
        <v>43312</v>
      </c>
      <c r="H46" s="22">
        <v>15000</v>
      </c>
      <c r="I46" s="22">
        <v>0</v>
      </c>
      <c r="J46" s="22" t="s">
        <v>1124</v>
      </c>
      <c r="K46" s="22"/>
      <c r="L46" s="22"/>
      <c r="M46" s="17" t="s">
        <v>1350</v>
      </c>
      <c r="N46" s="17">
        <v>7500</v>
      </c>
      <c r="O46" s="17">
        <v>7500</v>
      </c>
      <c r="P46" s="17">
        <v>7500</v>
      </c>
      <c r="R46" s="17" t="s">
        <v>1286</v>
      </c>
      <c r="S46" s="17">
        <v>4500</v>
      </c>
      <c r="T46" s="17">
        <v>4500</v>
      </c>
      <c r="U46" s="17">
        <v>4500</v>
      </c>
      <c r="W46" s="17" t="s">
        <v>1351</v>
      </c>
      <c r="X46" s="17">
        <v>3000</v>
      </c>
      <c r="Y46" s="17">
        <v>3000</v>
      </c>
      <c r="Z46" s="17">
        <v>3000</v>
      </c>
    </row>
    <row r="47" s="17" customFormat="1" spans="1:26">
      <c r="A47" s="17" t="s">
        <v>1352</v>
      </c>
      <c r="B47" s="22" t="s">
        <v>1353</v>
      </c>
      <c r="C47" s="22" t="s">
        <v>372</v>
      </c>
      <c r="D47" s="22" t="s">
        <v>1354</v>
      </c>
      <c r="E47" s="22" t="s">
        <v>1240</v>
      </c>
      <c r="F47" s="52">
        <v>42948</v>
      </c>
      <c r="G47" s="52">
        <v>43312</v>
      </c>
      <c r="H47" s="22">
        <v>15000</v>
      </c>
      <c r="I47" s="22">
        <v>0</v>
      </c>
      <c r="J47" s="22" t="s">
        <v>1124</v>
      </c>
      <c r="K47" s="22"/>
      <c r="L47" s="22"/>
      <c r="M47" s="17" t="s">
        <v>1350</v>
      </c>
      <c r="N47" s="17">
        <v>7500</v>
      </c>
      <c r="O47" s="17">
        <v>7500</v>
      </c>
      <c r="P47" s="17">
        <v>7500</v>
      </c>
      <c r="R47" s="17" t="s">
        <v>1286</v>
      </c>
      <c r="S47" s="17">
        <v>4500</v>
      </c>
      <c r="T47" s="17">
        <v>4500</v>
      </c>
      <c r="U47" s="17">
        <v>4500</v>
      </c>
      <c r="W47" s="17" t="s">
        <v>1351</v>
      </c>
      <c r="X47" s="17">
        <v>3000</v>
      </c>
      <c r="Y47" s="17">
        <v>3000</v>
      </c>
      <c r="Z47" s="17">
        <v>3000</v>
      </c>
    </row>
    <row r="48" s="17" customFormat="1" spans="1:21">
      <c r="A48" s="17" t="s">
        <v>1294</v>
      </c>
      <c r="B48" s="22" t="s">
        <v>385</v>
      </c>
      <c r="C48" s="23" t="s">
        <v>386</v>
      </c>
      <c r="D48" s="17" t="s">
        <v>1355</v>
      </c>
      <c r="E48" s="22" t="s">
        <v>1240</v>
      </c>
      <c r="F48" s="52">
        <v>42948</v>
      </c>
      <c r="G48" s="52">
        <v>43312</v>
      </c>
      <c r="H48" s="22">
        <v>30000</v>
      </c>
      <c r="I48" s="22">
        <v>0</v>
      </c>
      <c r="J48" s="22" t="s">
        <v>1124</v>
      </c>
      <c r="K48" s="22"/>
      <c r="L48" s="22"/>
      <c r="M48" s="17" t="s">
        <v>1356</v>
      </c>
      <c r="N48" s="17">
        <v>15000</v>
      </c>
      <c r="O48" s="17">
        <v>15000</v>
      </c>
      <c r="P48" s="17">
        <v>15000</v>
      </c>
      <c r="R48" s="17" t="s">
        <v>1357</v>
      </c>
      <c r="S48" s="17">
        <v>15000</v>
      </c>
      <c r="T48" s="17">
        <v>15000</v>
      </c>
      <c r="U48" s="17">
        <v>15000</v>
      </c>
    </row>
    <row r="49" s="17" customFormat="1" spans="1:20">
      <c r="A49" s="17" t="s">
        <v>1358</v>
      </c>
      <c r="B49" s="22" t="s">
        <v>1359</v>
      </c>
      <c r="C49" s="22" t="s">
        <v>1360</v>
      </c>
      <c r="D49" s="17" t="s">
        <v>1361</v>
      </c>
      <c r="E49" s="22" t="s">
        <v>1362</v>
      </c>
      <c r="F49" s="52">
        <v>42948</v>
      </c>
      <c r="G49" s="52">
        <v>42955</v>
      </c>
      <c r="H49" s="22">
        <v>7000</v>
      </c>
      <c r="I49" s="22">
        <v>0</v>
      </c>
      <c r="J49" s="22" t="s">
        <v>1124</v>
      </c>
      <c r="K49" s="22"/>
      <c r="L49" s="22"/>
      <c r="M49" s="17" t="s">
        <v>1363</v>
      </c>
      <c r="N49" s="17">
        <v>3500</v>
      </c>
      <c r="O49" s="17">
        <v>3500</v>
      </c>
      <c r="R49" s="17" t="s">
        <v>1364</v>
      </c>
      <c r="S49" s="17">
        <v>3500</v>
      </c>
      <c r="T49" s="17">
        <v>3500</v>
      </c>
    </row>
    <row r="50" s="17" customFormat="1" spans="1:20">
      <c r="A50" s="17" t="s">
        <v>1121</v>
      </c>
      <c r="B50" s="22" t="s">
        <v>316</v>
      </c>
      <c r="C50" s="22" t="s">
        <v>317</v>
      </c>
      <c r="D50" s="22" t="s">
        <v>1365</v>
      </c>
      <c r="E50" s="22" t="s">
        <v>1366</v>
      </c>
      <c r="F50" s="52">
        <v>42952</v>
      </c>
      <c r="H50" s="22">
        <v>10500</v>
      </c>
      <c r="I50" s="22">
        <v>0</v>
      </c>
      <c r="J50" s="22" t="s">
        <v>1124</v>
      </c>
      <c r="K50" s="22"/>
      <c r="L50" s="22"/>
      <c r="M50" s="17" t="s">
        <v>1367</v>
      </c>
      <c r="N50" s="17">
        <v>4200</v>
      </c>
      <c r="O50" s="17">
        <v>4200</v>
      </c>
      <c r="P50" s="17">
        <v>10500</v>
      </c>
      <c r="R50" s="17" t="s">
        <v>1368</v>
      </c>
      <c r="S50" s="17">
        <v>6300</v>
      </c>
      <c r="T50" s="17">
        <v>6300</v>
      </c>
    </row>
    <row r="51" s="17" customFormat="1" spans="1:16">
      <c r="A51" s="17" t="s">
        <v>1121</v>
      </c>
      <c r="B51" s="22" t="s">
        <v>1369</v>
      </c>
      <c r="C51" s="22" t="s">
        <v>1370</v>
      </c>
      <c r="D51" s="17" t="s">
        <v>1371</v>
      </c>
      <c r="E51" s="17" t="s">
        <v>1372</v>
      </c>
      <c r="F51" s="52">
        <v>42955</v>
      </c>
      <c r="G51" s="52">
        <v>42965</v>
      </c>
      <c r="H51" s="22">
        <v>8480</v>
      </c>
      <c r="I51" s="22">
        <v>0</v>
      </c>
      <c r="J51" s="22" t="s">
        <v>1124</v>
      </c>
      <c r="K51" s="22"/>
      <c r="L51" s="22"/>
      <c r="M51" s="17" t="s">
        <v>1373</v>
      </c>
      <c r="N51" s="17">
        <v>8480</v>
      </c>
      <c r="O51" s="17">
        <v>8480</v>
      </c>
      <c r="P51" s="17">
        <v>8480</v>
      </c>
    </row>
    <row r="52" s="17" customFormat="1" spans="1:42">
      <c r="A52" s="17" t="s">
        <v>1121</v>
      </c>
      <c r="B52" s="22" t="s">
        <v>1374</v>
      </c>
      <c r="C52" s="22" t="s">
        <v>1375</v>
      </c>
      <c r="D52" s="22" t="s">
        <v>1376</v>
      </c>
      <c r="E52" s="22" t="s">
        <v>1377</v>
      </c>
      <c r="F52" s="55">
        <v>42957</v>
      </c>
      <c r="G52" s="55">
        <v>42988</v>
      </c>
      <c r="H52" s="22">
        <v>51386</v>
      </c>
      <c r="I52" s="22">
        <v>0</v>
      </c>
      <c r="J52" s="22" t="s">
        <v>1124</v>
      </c>
      <c r="K52" s="22"/>
      <c r="L52" s="22"/>
      <c r="M52" s="22" t="s">
        <v>1378</v>
      </c>
      <c r="N52" s="22">
        <v>20554.4</v>
      </c>
      <c r="O52" s="22">
        <v>20554.4</v>
      </c>
      <c r="P52" s="22">
        <v>20554.4</v>
      </c>
      <c r="Q52" s="22"/>
      <c r="R52" s="22" t="s">
        <v>1379</v>
      </c>
      <c r="S52" s="22">
        <v>28262.3</v>
      </c>
      <c r="T52" s="22">
        <v>28262.3</v>
      </c>
      <c r="U52" s="22">
        <v>28262.3</v>
      </c>
      <c r="V52" s="22"/>
      <c r="W52" s="22" t="s">
        <v>1380</v>
      </c>
      <c r="X52" s="22">
        <v>2569.3</v>
      </c>
      <c r="Y52" s="22">
        <v>2569.3</v>
      </c>
      <c r="Z52" s="22">
        <v>2569.3</v>
      </c>
      <c r="AA52" s="22"/>
      <c r="AB52" s="22"/>
      <c r="AC52" s="22"/>
      <c r="AD52" s="22"/>
      <c r="AE52" s="22">
        <f>AD52</f>
        <v>0</v>
      </c>
      <c r="AF52" s="22">
        <f>AC52-AD52</f>
        <v>0</v>
      </c>
      <c r="AG52" s="22"/>
      <c r="AH52" s="22"/>
      <c r="AI52" s="22"/>
      <c r="AJ52" s="22">
        <f>AI52</f>
        <v>0</v>
      </c>
      <c r="AK52" s="22">
        <f>AH52-AI52</f>
        <v>0</v>
      </c>
      <c r="AL52" s="22">
        <f t="shared" ref="AL52:AN52" si="0">O52+T52+Y52+AD52+AI52</f>
        <v>51386</v>
      </c>
      <c r="AM52" s="22">
        <f t="shared" si="0"/>
        <v>51386</v>
      </c>
      <c r="AN52" s="22">
        <f t="shared" si="0"/>
        <v>0</v>
      </c>
      <c r="AP52" s="17" t="s">
        <v>1381</v>
      </c>
    </row>
    <row r="53" s="17" customFormat="1" spans="1:42">
      <c r="A53" s="17" t="s">
        <v>1121</v>
      </c>
      <c r="B53" s="22" t="s">
        <v>1374</v>
      </c>
      <c r="C53" s="22" t="s">
        <v>1375</v>
      </c>
      <c r="D53" s="22" t="s">
        <v>1382</v>
      </c>
      <c r="E53" s="22" t="s">
        <v>1383</v>
      </c>
      <c r="F53" s="55">
        <v>42957</v>
      </c>
      <c r="G53" s="55">
        <v>42988</v>
      </c>
      <c r="H53" s="22">
        <v>76137</v>
      </c>
      <c r="I53" s="22">
        <v>0</v>
      </c>
      <c r="J53" s="22" t="s">
        <v>1124</v>
      </c>
      <c r="K53" s="22"/>
      <c r="L53" s="22"/>
      <c r="M53" s="22" t="s">
        <v>1378</v>
      </c>
      <c r="N53" s="22">
        <v>30454.8</v>
      </c>
      <c r="O53" s="22">
        <v>30454.8</v>
      </c>
      <c r="P53" s="22">
        <v>30454.8</v>
      </c>
      <c r="Q53" s="22"/>
      <c r="R53" s="22" t="s">
        <v>1379</v>
      </c>
      <c r="S53" s="22">
        <v>41875.35</v>
      </c>
      <c r="T53" s="22">
        <v>41875.35</v>
      </c>
      <c r="U53" s="22">
        <v>41875.35</v>
      </c>
      <c r="V53" s="22"/>
      <c r="W53" s="22" t="s">
        <v>1380</v>
      </c>
      <c r="X53" s="22">
        <v>3806.85</v>
      </c>
      <c r="Y53" s="22">
        <v>3806.85</v>
      </c>
      <c r="Z53" s="22">
        <v>3806.85</v>
      </c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P53" s="17" t="s">
        <v>1381</v>
      </c>
    </row>
    <row r="54" s="17" customFormat="1" spans="1:21">
      <c r="A54" s="17" t="s">
        <v>1294</v>
      </c>
      <c r="B54" s="22" t="s">
        <v>765</v>
      </c>
      <c r="C54" s="22" t="s">
        <v>766</v>
      </c>
      <c r="D54" s="17" t="s">
        <v>1384</v>
      </c>
      <c r="E54" s="22" t="s">
        <v>1385</v>
      </c>
      <c r="F54" s="52">
        <v>42962</v>
      </c>
      <c r="G54" s="52">
        <v>43326</v>
      </c>
      <c r="H54" s="22">
        <v>23000</v>
      </c>
      <c r="I54" s="22">
        <v>0</v>
      </c>
      <c r="J54" s="22" t="s">
        <v>1124</v>
      </c>
      <c r="K54" s="22"/>
      <c r="L54" s="22"/>
      <c r="M54" s="17" t="s">
        <v>1386</v>
      </c>
      <c r="N54" s="17">
        <v>11500</v>
      </c>
      <c r="O54" s="17">
        <v>11500</v>
      </c>
      <c r="P54" s="17">
        <v>11500</v>
      </c>
      <c r="R54" s="17" t="s">
        <v>1387</v>
      </c>
      <c r="S54" s="17">
        <v>11500</v>
      </c>
      <c r="T54" s="17">
        <v>11500</v>
      </c>
      <c r="U54" s="17">
        <v>11500</v>
      </c>
    </row>
    <row r="55" s="17" customFormat="1" spans="1:23">
      <c r="A55" s="17" t="s">
        <v>1121</v>
      </c>
      <c r="B55" s="22" t="s">
        <v>1016</v>
      </c>
      <c r="C55" s="22" t="s">
        <v>706</v>
      </c>
      <c r="D55" s="17" t="s">
        <v>1388</v>
      </c>
      <c r="E55" s="22" t="s">
        <v>1389</v>
      </c>
      <c r="F55" s="52">
        <v>42967</v>
      </c>
      <c r="G55" s="52">
        <v>42977</v>
      </c>
      <c r="H55" s="22">
        <v>51400</v>
      </c>
      <c r="I55" s="22">
        <v>20560</v>
      </c>
      <c r="J55" s="22" t="s">
        <v>1390</v>
      </c>
      <c r="K55" s="22"/>
      <c r="L55" s="22"/>
      <c r="M55" s="17" t="s">
        <v>1391</v>
      </c>
      <c r="N55" s="17">
        <v>30840</v>
      </c>
      <c r="O55" s="17">
        <v>30840</v>
      </c>
      <c r="R55" s="17" t="s">
        <v>1392</v>
      </c>
      <c r="S55" s="17">
        <v>20560</v>
      </c>
      <c r="W55" s="17" t="s">
        <v>1393</v>
      </c>
    </row>
    <row r="56" s="17" customFormat="1" spans="1:15">
      <c r="A56" s="17" t="s">
        <v>1358</v>
      </c>
      <c r="B56" s="22" t="s">
        <v>1394</v>
      </c>
      <c r="C56" s="22" t="s">
        <v>1395</v>
      </c>
      <c r="D56" s="17" t="s">
        <v>1396</v>
      </c>
      <c r="E56" s="22" t="s">
        <v>1397</v>
      </c>
      <c r="F56" s="52">
        <v>42967</v>
      </c>
      <c r="G56" s="52">
        <v>43382</v>
      </c>
      <c r="H56" s="22">
        <v>70000</v>
      </c>
      <c r="I56" s="22">
        <v>0</v>
      </c>
      <c r="J56" s="22" t="s">
        <v>1124</v>
      </c>
      <c r="K56" s="22"/>
      <c r="L56" s="22"/>
      <c r="M56" s="17" t="s">
        <v>1398</v>
      </c>
      <c r="N56" s="17">
        <v>70000</v>
      </c>
      <c r="O56" s="17">
        <v>70000</v>
      </c>
    </row>
    <row r="57" s="17" customFormat="1" spans="1:21">
      <c r="A57" s="17" t="s">
        <v>1121</v>
      </c>
      <c r="B57" s="22" t="s">
        <v>1399</v>
      </c>
      <c r="C57" s="22" t="s">
        <v>766</v>
      </c>
      <c r="D57" s="22" t="s">
        <v>1400</v>
      </c>
      <c r="E57" s="22" t="s">
        <v>1401</v>
      </c>
      <c r="F57" s="52">
        <v>42976</v>
      </c>
      <c r="G57" s="52">
        <v>42990</v>
      </c>
      <c r="H57" s="22">
        <v>33330</v>
      </c>
      <c r="I57" s="22">
        <v>0</v>
      </c>
      <c r="J57" s="22" t="s">
        <v>1124</v>
      </c>
      <c r="K57" s="22"/>
      <c r="L57" s="22"/>
      <c r="M57" s="17" t="s">
        <v>1402</v>
      </c>
      <c r="N57" s="17">
        <v>13455</v>
      </c>
      <c r="O57" s="17">
        <v>33330</v>
      </c>
      <c r="P57" s="17">
        <v>13455</v>
      </c>
      <c r="R57" s="17" t="s">
        <v>1403</v>
      </c>
      <c r="S57" s="17">
        <v>19875</v>
      </c>
      <c r="U57" s="17">
        <v>19875</v>
      </c>
    </row>
    <row r="58" s="17" customFormat="1" spans="1:21">
      <c r="A58" s="17" t="s">
        <v>1294</v>
      </c>
      <c r="B58" s="22" t="s">
        <v>1012</v>
      </c>
      <c r="C58" s="23" t="s">
        <v>838</v>
      </c>
      <c r="D58" s="17" t="s">
        <v>1404</v>
      </c>
      <c r="E58" s="22" t="s">
        <v>1240</v>
      </c>
      <c r="F58" s="52">
        <v>42979</v>
      </c>
      <c r="G58" s="52">
        <v>43342</v>
      </c>
      <c r="H58" s="22">
        <v>30000</v>
      </c>
      <c r="I58" s="22">
        <v>0</v>
      </c>
      <c r="J58" s="22" t="s">
        <v>1124</v>
      </c>
      <c r="K58" s="22"/>
      <c r="L58" s="22"/>
      <c r="M58" s="17" t="s">
        <v>1405</v>
      </c>
      <c r="N58" s="17">
        <v>15000</v>
      </c>
      <c r="O58" s="17">
        <v>15000</v>
      </c>
      <c r="P58" s="17">
        <v>15000</v>
      </c>
      <c r="R58" s="17" t="s">
        <v>1406</v>
      </c>
      <c r="S58" s="17">
        <v>15000</v>
      </c>
      <c r="T58" s="17">
        <v>15000</v>
      </c>
      <c r="U58" s="17">
        <v>15000</v>
      </c>
    </row>
    <row r="59" s="3" customFormat="1" spans="1:24">
      <c r="A59" s="3" t="s">
        <v>1121</v>
      </c>
      <c r="B59" s="26" t="s">
        <v>1407</v>
      </c>
      <c r="C59" s="62" t="s">
        <v>1408</v>
      </c>
      <c r="D59" s="3" t="s">
        <v>1409</v>
      </c>
      <c r="E59" s="27" t="s">
        <v>1410</v>
      </c>
      <c r="F59" s="53">
        <v>42993</v>
      </c>
      <c r="G59" s="53">
        <v>43008</v>
      </c>
      <c r="H59" s="27">
        <v>26000</v>
      </c>
      <c r="I59" s="26">
        <v>2600</v>
      </c>
      <c r="J59" s="26" t="s">
        <v>1411</v>
      </c>
      <c r="K59" s="26"/>
      <c r="L59" s="67"/>
      <c r="M59" s="3" t="s">
        <v>1412</v>
      </c>
      <c r="N59" s="3">
        <v>15600</v>
      </c>
      <c r="O59" s="3">
        <v>15600</v>
      </c>
      <c r="P59" s="3">
        <v>26000</v>
      </c>
      <c r="R59" s="3" t="s">
        <v>1413</v>
      </c>
      <c r="S59" s="3">
        <v>7800</v>
      </c>
      <c r="T59" s="3">
        <v>7800</v>
      </c>
      <c r="W59" s="3" t="s">
        <v>1414</v>
      </c>
      <c r="X59" s="3">
        <v>2600</v>
      </c>
    </row>
    <row r="60" s="17" customFormat="1" spans="1:21">
      <c r="A60" s="17" t="s">
        <v>1288</v>
      </c>
      <c r="B60" s="22" t="s">
        <v>232</v>
      </c>
      <c r="C60" s="22" t="s">
        <v>233</v>
      </c>
      <c r="D60" s="17" t="s">
        <v>1415</v>
      </c>
      <c r="E60" s="22" t="s">
        <v>1416</v>
      </c>
      <c r="F60" s="52">
        <v>43009</v>
      </c>
      <c r="G60" s="52">
        <v>43373</v>
      </c>
      <c r="H60" s="22">
        <v>50000</v>
      </c>
      <c r="I60" s="22">
        <v>0</v>
      </c>
      <c r="J60" s="22" t="s">
        <v>1124</v>
      </c>
      <c r="K60" s="22"/>
      <c r="L60" s="22"/>
      <c r="M60" s="17" t="s">
        <v>1417</v>
      </c>
      <c r="N60" s="17">
        <v>25000</v>
      </c>
      <c r="O60" s="17">
        <v>25000</v>
      </c>
      <c r="P60" s="17">
        <f>20000+5000</f>
        <v>25000</v>
      </c>
      <c r="R60" s="17" t="s">
        <v>1418</v>
      </c>
      <c r="S60" s="17">
        <v>25000</v>
      </c>
      <c r="T60" s="17">
        <v>25000</v>
      </c>
      <c r="U60" s="17">
        <v>25000</v>
      </c>
    </row>
    <row r="61" s="17" customFormat="1" spans="1:21">
      <c r="A61" s="17" t="s">
        <v>1419</v>
      </c>
      <c r="B61" s="17" t="s">
        <v>1420</v>
      </c>
      <c r="C61" s="17" t="s">
        <v>706</v>
      </c>
      <c r="D61" s="17" t="s">
        <v>1421</v>
      </c>
      <c r="E61" s="17" t="s">
        <v>640</v>
      </c>
      <c r="F61" s="63">
        <v>43023</v>
      </c>
      <c r="G61" s="63">
        <v>43387</v>
      </c>
      <c r="H61" s="22">
        <v>26000</v>
      </c>
      <c r="I61" s="22">
        <v>0</v>
      </c>
      <c r="J61" s="22" t="s">
        <v>1124</v>
      </c>
      <c r="K61" s="22"/>
      <c r="M61" s="17" t="s">
        <v>1422</v>
      </c>
      <c r="N61" s="17">
        <v>13000</v>
      </c>
      <c r="O61" s="17">
        <v>13000</v>
      </c>
      <c r="R61" s="17" t="s">
        <v>1423</v>
      </c>
      <c r="S61" s="17">
        <v>13000</v>
      </c>
      <c r="T61" s="17">
        <v>13000</v>
      </c>
      <c r="U61" s="17">
        <v>13000</v>
      </c>
    </row>
    <row r="62" s="17" customFormat="1" spans="1:19">
      <c r="A62" s="17" t="s">
        <v>1121</v>
      </c>
      <c r="B62" s="22" t="s">
        <v>859</v>
      </c>
      <c r="C62" s="22" t="s">
        <v>860</v>
      </c>
      <c r="D62" s="17" t="s">
        <v>1424</v>
      </c>
      <c r="E62" s="22" t="s">
        <v>1425</v>
      </c>
      <c r="F62" s="52">
        <v>43028</v>
      </c>
      <c r="G62" s="52">
        <v>43392</v>
      </c>
      <c r="H62" s="22">
        <v>25440</v>
      </c>
      <c r="I62" s="22">
        <v>0</v>
      </c>
      <c r="J62" s="22" t="s">
        <v>1124</v>
      </c>
      <c r="K62" s="22"/>
      <c r="L62" s="22"/>
      <c r="M62" s="17" t="s">
        <v>1426</v>
      </c>
      <c r="N62" s="17">
        <v>17808</v>
      </c>
      <c r="O62" s="17">
        <v>17808</v>
      </c>
      <c r="P62" s="17">
        <v>17808</v>
      </c>
      <c r="R62" s="17" t="s">
        <v>1427</v>
      </c>
      <c r="S62" s="17">
        <v>7632</v>
      </c>
    </row>
    <row r="63" s="17" customFormat="1" spans="1:21">
      <c r="A63" s="17" t="s">
        <v>1121</v>
      </c>
      <c r="B63" s="22" t="s">
        <v>859</v>
      </c>
      <c r="C63" s="23" t="s">
        <v>860</v>
      </c>
      <c r="D63" s="17" t="s">
        <v>1428</v>
      </c>
      <c r="E63" s="22" t="s">
        <v>1429</v>
      </c>
      <c r="F63" s="52">
        <v>43028</v>
      </c>
      <c r="G63" s="52">
        <v>43049</v>
      </c>
      <c r="H63" s="22">
        <v>21606</v>
      </c>
      <c r="I63" s="22">
        <v>0</v>
      </c>
      <c r="J63" s="22" t="s">
        <v>1124</v>
      </c>
      <c r="K63" s="22"/>
      <c r="L63" s="22"/>
      <c r="M63" s="17" t="s">
        <v>1426</v>
      </c>
      <c r="N63" s="17">
        <v>15124</v>
      </c>
      <c r="O63" s="17">
        <v>15124</v>
      </c>
      <c r="P63" s="17">
        <v>15124</v>
      </c>
      <c r="R63" s="17" t="s">
        <v>1430</v>
      </c>
      <c r="S63" s="17">
        <v>6482</v>
      </c>
      <c r="U63" s="17">
        <v>6482</v>
      </c>
    </row>
    <row r="64" s="17" customFormat="1" spans="1:42">
      <c r="A64" s="17" t="s">
        <v>1121</v>
      </c>
      <c r="B64" s="22" t="s">
        <v>1431</v>
      </c>
      <c r="C64" s="23" t="s">
        <v>1432</v>
      </c>
      <c r="D64" s="17" t="s">
        <v>1433</v>
      </c>
      <c r="E64" s="22" t="s">
        <v>1434</v>
      </c>
      <c r="F64" s="52">
        <v>43054</v>
      </c>
      <c r="G64" s="52">
        <v>43174</v>
      </c>
      <c r="H64" s="22">
        <v>57000</v>
      </c>
      <c r="I64" s="22">
        <v>0</v>
      </c>
      <c r="J64" s="22" t="s">
        <v>1124</v>
      </c>
      <c r="K64" s="22"/>
      <c r="L64" s="22"/>
      <c r="M64" s="17" t="s">
        <v>1435</v>
      </c>
      <c r="N64" s="17">
        <v>17100</v>
      </c>
      <c r="O64" s="17">
        <v>17100</v>
      </c>
      <c r="P64" s="17">
        <v>17100</v>
      </c>
      <c r="R64" s="17" t="s">
        <v>1436</v>
      </c>
      <c r="S64" s="17">
        <v>22800</v>
      </c>
      <c r="T64" s="17">
        <v>22800</v>
      </c>
      <c r="U64" s="17">
        <v>22800</v>
      </c>
      <c r="W64" s="17" t="s">
        <v>1437</v>
      </c>
      <c r="X64" s="17">
        <v>17100</v>
      </c>
      <c r="Y64" s="17">
        <v>17100</v>
      </c>
      <c r="Z64" s="17">
        <v>17100</v>
      </c>
      <c r="AP64" s="17" t="s">
        <v>1438</v>
      </c>
    </row>
    <row r="65" s="17" customFormat="1" spans="1:15">
      <c r="A65" s="17" t="s">
        <v>1121</v>
      </c>
      <c r="B65" s="22" t="s">
        <v>1006</v>
      </c>
      <c r="C65" s="22" t="s">
        <v>408</v>
      </c>
      <c r="E65" s="22" t="s">
        <v>1439</v>
      </c>
      <c r="H65" s="22">
        <v>79000</v>
      </c>
      <c r="I65" s="22">
        <v>0</v>
      </c>
      <c r="J65" s="22" t="s">
        <v>1124</v>
      </c>
      <c r="K65" s="22"/>
      <c r="L65" s="22"/>
      <c r="M65" s="17" t="s">
        <v>1440</v>
      </c>
      <c r="N65" s="17">
        <v>79000</v>
      </c>
      <c r="O65" s="17">
        <v>79000</v>
      </c>
    </row>
    <row r="66" s="17" customFormat="1" spans="1:25">
      <c r="A66" s="17" t="s">
        <v>1121</v>
      </c>
      <c r="B66" s="22" t="s">
        <v>1012</v>
      </c>
      <c r="C66" s="68" t="s">
        <v>838</v>
      </c>
      <c r="E66" s="22" t="s">
        <v>1441</v>
      </c>
      <c r="F66" s="63">
        <v>42804</v>
      </c>
      <c r="G66" s="63">
        <v>43169</v>
      </c>
      <c r="H66" s="22">
        <v>485000</v>
      </c>
      <c r="I66" s="22">
        <v>0</v>
      </c>
      <c r="J66" s="22" t="s">
        <v>1124</v>
      </c>
      <c r="K66" s="22"/>
      <c r="L66" s="22"/>
      <c r="M66" s="17" t="s">
        <v>1442</v>
      </c>
      <c r="N66" s="17">
        <v>291000</v>
      </c>
      <c r="O66" s="17">
        <v>97000</v>
      </c>
      <c r="P66" s="17">
        <v>97000</v>
      </c>
      <c r="R66" s="17" t="s">
        <v>1443</v>
      </c>
      <c r="S66" s="17">
        <v>169750</v>
      </c>
      <c r="T66" s="17">
        <v>363750</v>
      </c>
      <c r="U66" s="17">
        <v>388000</v>
      </c>
      <c r="W66" s="17" t="s">
        <v>1444</v>
      </c>
      <c r="X66" s="17">
        <v>24250</v>
      </c>
      <c r="Y66" s="17">
        <v>24250</v>
      </c>
    </row>
    <row r="67" s="17" customFormat="1" spans="2:16">
      <c r="B67" s="17" t="s">
        <v>1007</v>
      </c>
      <c r="C67" s="17" t="s">
        <v>126</v>
      </c>
      <c r="E67" s="17" t="s">
        <v>1445</v>
      </c>
      <c r="O67" s="17">
        <v>194403.6</v>
      </c>
      <c r="P67" s="17">
        <v>194403.6</v>
      </c>
    </row>
    <row r="68" s="49" customFormat="1" spans="1:24">
      <c r="A68" s="3" t="s">
        <v>1121</v>
      </c>
      <c r="B68" s="13" t="s">
        <v>1446</v>
      </c>
      <c r="C68" s="13" t="s">
        <v>1447</v>
      </c>
      <c r="E68" s="49" t="s">
        <v>1448</v>
      </c>
      <c r="F68" s="69">
        <v>43040</v>
      </c>
      <c r="G68" s="69">
        <v>43066</v>
      </c>
      <c r="H68" s="27">
        <f>89026.5-2300-2500-55</f>
        <v>84171.5</v>
      </c>
      <c r="I68" s="13">
        <v>8902.5</v>
      </c>
      <c r="J68" s="13" t="s">
        <v>1195</v>
      </c>
      <c r="K68" s="13" t="s">
        <v>143</v>
      </c>
      <c r="M68" s="3" t="s">
        <v>1449</v>
      </c>
      <c r="N68" s="49">
        <v>26708</v>
      </c>
      <c r="O68" s="49">
        <v>26708</v>
      </c>
      <c r="P68" s="49">
        <f>42121+33148</f>
        <v>75269</v>
      </c>
      <c r="R68" s="49" t="s">
        <v>1450</v>
      </c>
      <c r="S68" s="49">
        <v>48561</v>
      </c>
      <c r="T68" s="49">
        <v>48561</v>
      </c>
      <c r="U68" s="49">
        <v>48561</v>
      </c>
      <c r="W68" s="49" t="s">
        <v>1451</v>
      </c>
      <c r="X68" s="49">
        <v>8902.5</v>
      </c>
    </row>
    <row r="69" s="17" customFormat="1" spans="1:16">
      <c r="A69" s="17" t="s">
        <v>1121</v>
      </c>
      <c r="B69" s="17" t="s">
        <v>1452</v>
      </c>
      <c r="C69" s="17" t="s">
        <v>1453</v>
      </c>
      <c r="D69" s="17" t="s">
        <v>1454</v>
      </c>
      <c r="E69" s="17" t="s">
        <v>1455</v>
      </c>
      <c r="F69" s="70">
        <v>43061</v>
      </c>
      <c r="G69" s="70">
        <v>43081</v>
      </c>
      <c r="H69" s="22">
        <v>15830</v>
      </c>
      <c r="I69" s="22">
        <v>0</v>
      </c>
      <c r="J69" s="22" t="s">
        <v>1124</v>
      </c>
      <c r="K69" s="22"/>
      <c r="M69" s="17" t="s">
        <v>1456</v>
      </c>
      <c r="N69" s="17">
        <v>15830</v>
      </c>
      <c r="O69" s="17">
        <v>15830</v>
      </c>
      <c r="P69" s="17">
        <v>15830</v>
      </c>
    </row>
    <row r="70" s="17" customFormat="1" spans="1:25">
      <c r="A70" s="17" t="s">
        <v>1121</v>
      </c>
      <c r="B70" s="17" t="s">
        <v>1457</v>
      </c>
      <c r="C70" s="51" t="s">
        <v>780</v>
      </c>
      <c r="D70" s="17" t="s">
        <v>1458</v>
      </c>
      <c r="E70" s="17" t="s">
        <v>1459</v>
      </c>
      <c r="F70" s="70">
        <v>43054</v>
      </c>
      <c r="G70" s="70">
        <v>43189</v>
      </c>
      <c r="H70" s="22">
        <v>19398</v>
      </c>
      <c r="I70" s="22">
        <v>0</v>
      </c>
      <c r="J70" s="22" t="s">
        <v>1124</v>
      </c>
      <c r="K70" s="22"/>
      <c r="M70" s="17" t="s">
        <v>1460</v>
      </c>
      <c r="N70" s="17">
        <v>9699</v>
      </c>
      <c r="O70" s="17">
        <v>9699</v>
      </c>
      <c r="R70" s="17" t="s">
        <v>1461</v>
      </c>
      <c r="S70" s="17">
        <v>5919.4</v>
      </c>
      <c r="T70" s="17">
        <v>5919.4</v>
      </c>
      <c r="U70" s="17">
        <v>19398</v>
      </c>
      <c r="W70" s="17" t="s">
        <v>1462</v>
      </c>
      <c r="X70" s="17">
        <v>3879.6</v>
      </c>
      <c r="Y70" s="17">
        <v>3879.6</v>
      </c>
    </row>
    <row r="71" s="17" customFormat="1" spans="1:14">
      <c r="A71" s="17" t="s">
        <v>1121</v>
      </c>
      <c r="B71" s="22" t="s">
        <v>1205</v>
      </c>
      <c r="C71" s="22" t="s">
        <v>1206</v>
      </c>
      <c r="E71" s="17" t="s">
        <v>1463</v>
      </c>
      <c r="H71" s="22">
        <v>40000</v>
      </c>
      <c r="I71" s="22">
        <v>0</v>
      </c>
      <c r="J71" s="17" t="s">
        <v>1165</v>
      </c>
      <c r="K71" s="22" t="s">
        <v>368</v>
      </c>
      <c r="M71" s="17" t="s">
        <v>1464</v>
      </c>
      <c r="N71" s="17">
        <v>40000</v>
      </c>
    </row>
    <row r="72" s="17" customFormat="1" spans="1:16">
      <c r="A72" s="17" t="s">
        <v>1121</v>
      </c>
      <c r="B72" s="22" t="s">
        <v>1205</v>
      </c>
      <c r="C72" s="22" t="s">
        <v>1206</v>
      </c>
      <c r="D72" s="17" t="s">
        <v>1465</v>
      </c>
      <c r="E72" s="17" t="s">
        <v>1466</v>
      </c>
      <c r="H72" s="22">
        <v>70000</v>
      </c>
      <c r="I72" s="22">
        <v>0</v>
      </c>
      <c r="J72" s="17" t="s">
        <v>1165</v>
      </c>
      <c r="K72" s="22" t="s">
        <v>368</v>
      </c>
      <c r="M72" s="17" t="s">
        <v>1467</v>
      </c>
      <c r="N72" s="17">
        <v>70000</v>
      </c>
      <c r="O72" s="17">
        <v>35000</v>
      </c>
      <c r="P72" s="17">
        <v>35000</v>
      </c>
    </row>
    <row r="73" s="17" customFormat="1" spans="1:19">
      <c r="A73" s="17" t="s">
        <v>1121</v>
      </c>
      <c r="B73" s="22" t="s">
        <v>1205</v>
      </c>
      <c r="C73" s="22" t="s">
        <v>1206</v>
      </c>
      <c r="D73" s="17" t="s">
        <v>1468</v>
      </c>
      <c r="E73" s="17" t="s">
        <v>1469</v>
      </c>
      <c r="H73" s="22">
        <v>78000</v>
      </c>
      <c r="I73" s="22">
        <v>0</v>
      </c>
      <c r="J73" s="17" t="s">
        <v>1165</v>
      </c>
      <c r="K73" s="22" t="s">
        <v>368</v>
      </c>
      <c r="M73" s="17" t="s">
        <v>1470</v>
      </c>
      <c r="N73" s="17">
        <v>39000</v>
      </c>
      <c r="P73" s="17">
        <v>78000</v>
      </c>
      <c r="R73" s="17" t="s">
        <v>1471</v>
      </c>
      <c r="S73" s="17">
        <v>39000</v>
      </c>
    </row>
    <row r="74" s="17" customFormat="1" spans="1:24">
      <c r="A74" s="17" t="s">
        <v>1121</v>
      </c>
      <c r="B74" s="22" t="s">
        <v>1205</v>
      </c>
      <c r="C74" s="22" t="s">
        <v>1206</v>
      </c>
      <c r="D74" s="17" t="s">
        <v>1472</v>
      </c>
      <c r="E74" s="17" t="s">
        <v>1473</v>
      </c>
      <c r="F74" s="70">
        <v>42856</v>
      </c>
      <c r="G74" s="70">
        <v>43220</v>
      </c>
      <c r="H74" s="22">
        <v>115000</v>
      </c>
      <c r="I74" s="22">
        <v>0</v>
      </c>
      <c r="J74" s="22" t="s">
        <v>1124</v>
      </c>
      <c r="K74" s="22" t="s">
        <v>368</v>
      </c>
      <c r="M74" s="17" t="s">
        <v>1474</v>
      </c>
      <c r="N74" s="17">
        <v>34500</v>
      </c>
      <c r="O74" s="17">
        <v>115000</v>
      </c>
      <c r="P74" s="17">
        <v>103500</v>
      </c>
      <c r="R74" s="17" t="s">
        <v>1475</v>
      </c>
      <c r="S74" s="17">
        <v>69000</v>
      </c>
      <c r="W74" s="17" t="s">
        <v>1476</v>
      </c>
      <c r="X74" s="17">
        <v>11500</v>
      </c>
    </row>
    <row r="75" s="17" customFormat="1" spans="1:21">
      <c r="A75" s="17" t="s">
        <v>1121</v>
      </c>
      <c r="B75" s="22" t="s">
        <v>866</v>
      </c>
      <c r="C75" s="22" t="s">
        <v>1477</v>
      </c>
      <c r="D75" s="17" t="s">
        <v>1478</v>
      </c>
      <c r="E75" s="17" t="s">
        <v>1479</v>
      </c>
      <c r="F75" s="70">
        <v>43054</v>
      </c>
      <c r="G75" s="70">
        <v>43418</v>
      </c>
      <c r="H75" s="22">
        <v>50000</v>
      </c>
      <c r="I75" s="22">
        <v>0</v>
      </c>
      <c r="J75" s="22" t="s">
        <v>1124</v>
      </c>
      <c r="K75" s="22" t="s">
        <v>368</v>
      </c>
      <c r="M75" s="17" t="s">
        <v>1480</v>
      </c>
      <c r="N75" s="17">
        <v>20000</v>
      </c>
      <c r="O75" s="17">
        <v>20000</v>
      </c>
      <c r="P75" s="17" t="s">
        <v>1393</v>
      </c>
      <c r="R75" s="17" t="s">
        <v>1481</v>
      </c>
      <c r="S75" s="17">
        <v>30000</v>
      </c>
      <c r="T75" s="17">
        <v>30000</v>
      </c>
      <c r="U75" s="17">
        <v>50000</v>
      </c>
    </row>
    <row r="76" s="49" customFormat="1" spans="1:16">
      <c r="A76" s="3" t="s">
        <v>1121</v>
      </c>
      <c r="B76" s="13" t="s">
        <v>1482</v>
      </c>
      <c r="C76" s="13" t="s">
        <v>473</v>
      </c>
      <c r="D76" s="49" t="s">
        <v>1483</v>
      </c>
      <c r="E76" s="49" t="s">
        <v>1484</v>
      </c>
      <c r="F76" s="69">
        <v>42860</v>
      </c>
      <c r="G76" s="69">
        <v>43008</v>
      </c>
      <c r="H76" s="27">
        <v>110000</v>
      </c>
      <c r="I76" s="26">
        <v>110000</v>
      </c>
      <c r="J76" s="13" t="s">
        <v>1165</v>
      </c>
      <c r="K76" s="13" t="s">
        <v>1485</v>
      </c>
      <c r="M76" s="49" t="s">
        <v>1486</v>
      </c>
      <c r="P76" s="49">
        <v>110000</v>
      </c>
    </row>
    <row r="77" s="17" customFormat="1" spans="1:21">
      <c r="A77" s="17" t="s">
        <v>1121</v>
      </c>
      <c r="B77" s="17" t="s">
        <v>137</v>
      </c>
      <c r="C77" s="51" t="s">
        <v>1487</v>
      </c>
      <c r="D77" s="17" t="s">
        <v>1488</v>
      </c>
      <c r="E77" s="17" t="s">
        <v>1489</v>
      </c>
      <c r="H77" s="22">
        <v>20000</v>
      </c>
      <c r="I77" s="22">
        <v>0</v>
      </c>
      <c r="J77" s="22" t="s">
        <v>1124</v>
      </c>
      <c r="K77" s="22"/>
      <c r="M77" s="17" t="s">
        <v>1490</v>
      </c>
      <c r="N77" s="17">
        <v>14000</v>
      </c>
      <c r="O77" s="17">
        <v>14000</v>
      </c>
      <c r="P77" s="17">
        <v>14000</v>
      </c>
      <c r="R77" s="17" t="s">
        <v>1491</v>
      </c>
      <c r="S77" s="17">
        <v>6000</v>
      </c>
      <c r="T77" s="17">
        <v>6000</v>
      </c>
      <c r="U77" s="17">
        <v>6000</v>
      </c>
    </row>
    <row r="78" s="17" customFormat="1" spans="2:16">
      <c r="B78" s="17" t="s">
        <v>137</v>
      </c>
      <c r="C78" s="17" t="s">
        <v>138</v>
      </c>
      <c r="E78" s="17" t="s">
        <v>1492</v>
      </c>
      <c r="H78" s="22">
        <v>22000</v>
      </c>
      <c r="I78" s="22">
        <v>0</v>
      </c>
      <c r="J78" s="22" t="s">
        <v>1124</v>
      </c>
      <c r="K78" s="22"/>
      <c r="O78" s="17">
        <v>22000</v>
      </c>
      <c r="P78" s="17">
        <v>22000</v>
      </c>
    </row>
    <row r="79" s="17" customFormat="1" spans="2:16">
      <c r="B79" s="17" t="s">
        <v>137</v>
      </c>
      <c r="C79" s="17" t="s">
        <v>138</v>
      </c>
      <c r="E79" s="17" t="s">
        <v>1493</v>
      </c>
      <c r="H79" s="22">
        <v>102000</v>
      </c>
      <c r="I79" s="22">
        <v>0</v>
      </c>
      <c r="J79" s="22" t="s">
        <v>1124</v>
      </c>
      <c r="K79" s="22"/>
      <c r="O79" s="17">
        <v>102000</v>
      </c>
      <c r="P79" s="17">
        <v>102000</v>
      </c>
    </row>
    <row r="80" s="14" customFormat="1" spans="1:34">
      <c r="A80" s="14" t="s">
        <v>1121</v>
      </c>
      <c r="B80" s="14" t="s">
        <v>1017</v>
      </c>
      <c r="C80" s="14" t="s">
        <v>1494</v>
      </c>
      <c r="D80" s="14" t="s">
        <v>1495</v>
      </c>
      <c r="E80" s="14" t="s">
        <v>640</v>
      </c>
      <c r="F80" s="71">
        <v>43050</v>
      </c>
      <c r="G80" s="71">
        <v>43414</v>
      </c>
      <c r="H80" s="58">
        <v>28000</v>
      </c>
      <c r="I80" s="58"/>
      <c r="M80" s="14" t="s">
        <v>1496</v>
      </c>
      <c r="N80" s="14">
        <v>5600</v>
      </c>
      <c r="O80" s="14">
        <v>5600</v>
      </c>
      <c r="P80" s="14">
        <v>11200</v>
      </c>
      <c r="R80" s="14" t="s">
        <v>1461</v>
      </c>
      <c r="S80" s="14">
        <v>5600</v>
      </c>
      <c r="T80" s="14">
        <v>5600</v>
      </c>
      <c r="W80" s="14" t="s">
        <v>1497</v>
      </c>
      <c r="X80" s="14">
        <v>2800</v>
      </c>
      <c r="Y80" s="14">
        <v>2800</v>
      </c>
      <c r="Z80" s="14">
        <v>2800</v>
      </c>
      <c r="AB80" s="14" t="s">
        <v>1498</v>
      </c>
      <c r="AC80" s="14">
        <v>11200</v>
      </c>
      <c r="AG80" s="14" t="s">
        <v>1499</v>
      </c>
      <c r="AH80" s="14">
        <v>2800</v>
      </c>
    </row>
    <row r="81" s="17" customFormat="1" spans="1:21">
      <c r="A81" s="17" t="s">
        <v>1500</v>
      </c>
      <c r="B81" s="17" t="s">
        <v>680</v>
      </c>
      <c r="C81" s="17" t="s">
        <v>681</v>
      </c>
      <c r="D81" s="17" t="s">
        <v>1501</v>
      </c>
      <c r="E81" s="17" t="s">
        <v>1248</v>
      </c>
      <c r="F81" s="70">
        <v>43040</v>
      </c>
      <c r="G81" s="70">
        <v>43404</v>
      </c>
      <c r="H81" s="22">
        <v>17350</v>
      </c>
      <c r="I81" s="22">
        <v>0</v>
      </c>
      <c r="J81" s="22" t="s">
        <v>1124</v>
      </c>
      <c r="K81" s="22"/>
      <c r="M81" s="17" t="s">
        <v>1250</v>
      </c>
      <c r="N81" s="17">
        <v>8675</v>
      </c>
      <c r="O81" s="17">
        <v>8675</v>
      </c>
      <c r="P81" s="17">
        <v>8675</v>
      </c>
      <c r="R81" s="17" t="s">
        <v>1251</v>
      </c>
      <c r="S81" s="17">
        <v>8675</v>
      </c>
      <c r="T81" s="17">
        <v>8675</v>
      </c>
      <c r="U81" s="17">
        <v>8675</v>
      </c>
    </row>
    <row r="82" s="49" customFormat="1" spans="1:24">
      <c r="A82" s="3" t="s">
        <v>1502</v>
      </c>
      <c r="B82" s="13" t="s">
        <v>1503</v>
      </c>
      <c r="C82" s="13" t="s">
        <v>493</v>
      </c>
      <c r="D82" s="49" t="s">
        <v>1504</v>
      </c>
      <c r="E82" s="49" t="s">
        <v>1505</v>
      </c>
      <c r="F82" s="69">
        <v>42917</v>
      </c>
      <c r="G82" s="69">
        <v>43281</v>
      </c>
      <c r="H82" s="27">
        <v>48000</v>
      </c>
      <c r="I82" s="26">
        <v>9000</v>
      </c>
      <c r="J82" s="13" t="s">
        <v>1506</v>
      </c>
      <c r="K82" s="13"/>
      <c r="M82" s="49" t="s">
        <v>1507</v>
      </c>
      <c r="N82" s="49">
        <v>15000</v>
      </c>
      <c r="O82" s="49">
        <v>15000</v>
      </c>
      <c r="P82" s="49">
        <v>15000</v>
      </c>
      <c r="R82" s="49" t="s">
        <v>1508</v>
      </c>
      <c r="S82" s="49">
        <v>24000</v>
      </c>
      <c r="T82" s="49">
        <v>24000</v>
      </c>
      <c r="U82" s="49">
        <v>24000</v>
      </c>
      <c r="W82" s="49" t="s">
        <v>1509</v>
      </c>
      <c r="X82" s="49">
        <v>9000</v>
      </c>
    </row>
    <row r="83" s="17" customFormat="1" spans="1:26">
      <c r="A83" s="17" t="s">
        <v>1294</v>
      </c>
      <c r="B83" s="17" t="s">
        <v>1510</v>
      </c>
      <c r="C83" s="17" t="s">
        <v>738</v>
      </c>
      <c r="D83" s="17" t="s">
        <v>1511</v>
      </c>
      <c r="E83" s="17" t="s">
        <v>1512</v>
      </c>
      <c r="F83" s="70">
        <v>43038</v>
      </c>
      <c r="G83" s="70">
        <v>43312</v>
      </c>
      <c r="H83" s="22">
        <v>146916</v>
      </c>
      <c r="I83" s="22">
        <v>0</v>
      </c>
      <c r="J83" s="22" t="s">
        <v>1124</v>
      </c>
      <c r="K83" s="22"/>
      <c r="M83" s="17" t="s">
        <v>1513</v>
      </c>
      <c r="N83" s="17">
        <v>58766.4</v>
      </c>
      <c r="O83" s="17">
        <v>58766.4</v>
      </c>
      <c r="P83" s="17">
        <v>58766.4</v>
      </c>
      <c r="R83" s="17" t="s">
        <v>1514</v>
      </c>
      <c r="S83" s="17">
        <v>58766.4</v>
      </c>
      <c r="T83" s="17">
        <v>58766.4</v>
      </c>
      <c r="U83" s="17">
        <v>58766.4</v>
      </c>
      <c r="W83" s="17" t="s">
        <v>1515</v>
      </c>
      <c r="X83" s="17">
        <v>29383.2</v>
      </c>
      <c r="Y83" s="17">
        <v>29383.2</v>
      </c>
      <c r="Z83" s="17">
        <v>29383.2</v>
      </c>
    </row>
    <row r="84" s="50" customFormat="1" ht="20" customHeight="1" spans="1:20">
      <c r="A84" s="72">
        <v>43066</v>
      </c>
      <c r="B84" s="73" t="s">
        <v>1516</v>
      </c>
      <c r="C84" s="74" t="s">
        <v>1517</v>
      </c>
      <c r="D84" s="50" t="s">
        <v>1518</v>
      </c>
      <c r="E84" s="50" t="s">
        <v>1519</v>
      </c>
      <c r="F84" s="75">
        <v>43054</v>
      </c>
      <c r="G84" s="75">
        <v>43069</v>
      </c>
      <c r="H84" s="76">
        <v>10250</v>
      </c>
      <c r="I84" s="22">
        <v>0</v>
      </c>
      <c r="J84" s="22" t="s">
        <v>1124</v>
      </c>
      <c r="O84" s="82">
        <v>7175</v>
      </c>
      <c r="P84" s="50">
        <v>10250</v>
      </c>
      <c r="S84" s="50">
        <v>3075</v>
      </c>
      <c r="T84" s="50">
        <v>3075</v>
      </c>
    </row>
    <row r="85" s="50" customFormat="1" ht="20" customHeight="1" spans="1:39">
      <c r="A85" s="72"/>
      <c r="B85" s="73" t="s">
        <v>1516</v>
      </c>
      <c r="C85" s="74" t="s">
        <v>920</v>
      </c>
      <c r="E85" s="50" t="s">
        <v>1520</v>
      </c>
      <c r="F85" s="75">
        <v>43040</v>
      </c>
      <c r="G85" s="75">
        <v>43404</v>
      </c>
      <c r="H85" s="76">
        <v>60000</v>
      </c>
      <c r="I85" s="22">
        <v>0</v>
      </c>
      <c r="J85" s="22" t="s">
        <v>1124</v>
      </c>
      <c r="M85" s="50" t="s">
        <v>1521</v>
      </c>
      <c r="N85" s="50">
        <v>10800</v>
      </c>
      <c r="O85" s="82"/>
      <c r="R85" s="50" t="s">
        <v>1522</v>
      </c>
      <c r="S85" s="50">
        <v>10800</v>
      </c>
      <c r="W85" s="50" t="s">
        <v>1523</v>
      </c>
      <c r="X85" s="50">
        <v>14400</v>
      </c>
      <c r="AL85" s="50">
        <v>60000</v>
      </c>
      <c r="AM85" s="50">
        <v>60000</v>
      </c>
    </row>
    <row r="86" s="50" customFormat="1" ht="20" customHeight="1" spans="1:15">
      <c r="A86" s="72"/>
      <c r="B86" s="73" t="s">
        <v>1516</v>
      </c>
      <c r="C86" s="74" t="s">
        <v>1326</v>
      </c>
      <c r="D86" s="50" t="s">
        <v>1393</v>
      </c>
      <c r="E86" s="50" t="s">
        <v>1524</v>
      </c>
      <c r="F86" s="75" t="s">
        <v>1525</v>
      </c>
      <c r="G86" s="75" t="s">
        <v>852</v>
      </c>
      <c r="H86" s="76">
        <v>168000</v>
      </c>
      <c r="I86" s="22">
        <v>0</v>
      </c>
      <c r="J86" s="22" t="s">
        <v>1124</v>
      </c>
      <c r="N86" s="50">
        <v>84000</v>
      </c>
      <c r="O86" s="82">
        <v>84000</v>
      </c>
    </row>
    <row r="87" s="49" customFormat="1" spans="2:16">
      <c r="B87" s="17" t="s">
        <v>137</v>
      </c>
      <c r="C87" s="17" t="s">
        <v>1526</v>
      </c>
      <c r="H87" s="27">
        <v>29892</v>
      </c>
      <c r="I87" s="22">
        <v>0</v>
      </c>
      <c r="J87" s="22" t="s">
        <v>1124</v>
      </c>
      <c r="O87" s="49">
        <v>29892</v>
      </c>
      <c r="P87" s="49">
        <v>29892</v>
      </c>
    </row>
    <row r="88" s="17" customFormat="1" spans="2:21">
      <c r="B88" s="17" t="s">
        <v>652</v>
      </c>
      <c r="C88" s="51" t="s">
        <v>652</v>
      </c>
      <c r="E88" s="17" t="s">
        <v>1527</v>
      </c>
      <c r="H88" s="22">
        <v>90000</v>
      </c>
      <c r="I88" s="22">
        <v>0</v>
      </c>
      <c r="J88" s="22" t="s">
        <v>1124</v>
      </c>
      <c r="O88" s="17">
        <v>85500</v>
      </c>
      <c r="P88" s="17">
        <v>85500</v>
      </c>
      <c r="S88" s="17">
        <v>4500</v>
      </c>
      <c r="T88" s="17">
        <v>4500</v>
      </c>
      <c r="U88" s="17">
        <v>4500</v>
      </c>
    </row>
    <row r="89" s="49" customFormat="1" spans="2:15">
      <c r="B89" s="22" t="s">
        <v>255</v>
      </c>
      <c r="C89" s="54" t="s">
        <v>256</v>
      </c>
      <c r="D89" s="17" t="s">
        <v>1528</v>
      </c>
      <c r="E89" s="17" t="s">
        <v>1529</v>
      </c>
      <c r="F89" s="70">
        <v>43073</v>
      </c>
      <c r="G89" s="70">
        <v>43093</v>
      </c>
      <c r="H89" s="22">
        <v>12416</v>
      </c>
      <c r="I89" s="22">
        <v>0</v>
      </c>
      <c r="J89" s="17" t="s">
        <v>1530</v>
      </c>
      <c r="K89" s="17"/>
      <c r="M89" s="49"/>
      <c r="O89" s="49">
        <v>12416</v>
      </c>
    </row>
    <row r="90" s="49" customFormat="1" spans="1:20">
      <c r="A90" s="3" t="s">
        <v>1121</v>
      </c>
      <c r="B90" s="22" t="s">
        <v>232</v>
      </c>
      <c r="C90" s="22" t="s">
        <v>233</v>
      </c>
      <c r="D90" s="17" t="s">
        <v>1531</v>
      </c>
      <c r="E90" s="17" t="s">
        <v>1532</v>
      </c>
      <c r="F90" s="70">
        <v>43076</v>
      </c>
      <c r="G90" s="70">
        <v>43441</v>
      </c>
      <c r="H90" s="22">
        <v>8000</v>
      </c>
      <c r="I90" s="22">
        <v>0</v>
      </c>
      <c r="J90" s="17" t="s">
        <v>1530</v>
      </c>
      <c r="K90" s="17"/>
      <c r="M90" s="49" t="s">
        <v>1533</v>
      </c>
      <c r="N90" s="49">
        <v>4000</v>
      </c>
      <c r="O90" s="49">
        <v>4000</v>
      </c>
      <c r="P90" s="49">
        <v>8000</v>
      </c>
      <c r="R90" s="49" t="s">
        <v>1534</v>
      </c>
      <c r="S90" s="49">
        <v>4000</v>
      </c>
      <c r="T90" s="49">
        <v>4000</v>
      </c>
    </row>
    <row r="91" s="49" customFormat="1" spans="1:25">
      <c r="A91" s="3" t="s">
        <v>1121</v>
      </c>
      <c r="B91" s="17" t="s">
        <v>1535</v>
      </c>
      <c r="C91" s="51" t="s">
        <v>1536</v>
      </c>
      <c r="D91" s="49" t="s">
        <v>1537</v>
      </c>
      <c r="E91" s="49" t="s">
        <v>1538</v>
      </c>
      <c r="F91" s="69">
        <v>43092</v>
      </c>
      <c r="G91" s="69">
        <v>43174</v>
      </c>
      <c r="H91" s="27">
        <v>12508</v>
      </c>
      <c r="I91" s="22">
        <v>0</v>
      </c>
      <c r="J91" s="22" t="s">
        <v>1124</v>
      </c>
      <c r="M91" s="49" t="s">
        <v>1539</v>
      </c>
      <c r="N91" s="49">
        <v>6254</v>
      </c>
      <c r="O91" s="49">
        <v>6254</v>
      </c>
      <c r="P91" s="49">
        <v>12508</v>
      </c>
      <c r="R91" s="49" t="s">
        <v>1540</v>
      </c>
      <c r="S91" s="49">
        <v>5003.2</v>
      </c>
      <c r="T91" s="49">
        <v>5003.2</v>
      </c>
      <c r="W91" s="49" t="s">
        <v>1541</v>
      </c>
      <c r="X91" s="49">
        <v>1250.8</v>
      </c>
      <c r="Y91" s="49">
        <v>1250.8</v>
      </c>
    </row>
    <row r="92" s="3" customFormat="1" spans="1:26">
      <c r="A92" s="3" t="s">
        <v>1294</v>
      </c>
      <c r="B92" s="17" t="s">
        <v>1542</v>
      </c>
      <c r="C92" s="17" t="s">
        <v>175</v>
      </c>
      <c r="D92" s="3" t="s">
        <v>1543</v>
      </c>
      <c r="E92" s="3" t="s">
        <v>1544</v>
      </c>
      <c r="F92" s="77">
        <v>42917</v>
      </c>
      <c r="G92" s="77">
        <v>43281</v>
      </c>
      <c r="H92" s="8">
        <v>34000</v>
      </c>
      <c r="I92" s="22">
        <v>0</v>
      </c>
      <c r="J92" s="22" t="s">
        <v>1124</v>
      </c>
      <c r="K92" s="50"/>
      <c r="M92" s="3" t="s">
        <v>1545</v>
      </c>
      <c r="N92" s="3">
        <v>10200</v>
      </c>
      <c r="O92" s="3">
        <v>27200</v>
      </c>
      <c r="P92" s="3">
        <f>10200+17000</f>
        <v>27200</v>
      </c>
      <c r="R92" s="3" t="s">
        <v>1546</v>
      </c>
      <c r="S92" s="3">
        <v>17000</v>
      </c>
      <c r="W92" s="3" t="s">
        <v>1547</v>
      </c>
      <c r="X92" s="3">
        <v>6800</v>
      </c>
      <c r="Y92" s="3">
        <v>6800</v>
      </c>
      <c r="Z92" s="3">
        <v>6800</v>
      </c>
    </row>
    <row r="93" s="3" customFormat="1" spans="1:16">
      <c r="A93" s="3" t="s">
        <v>1121</v>
      </c>
      <c r="B93" s="17" t="s">
        <v>1542</v>
      </c>
      <c r="C93" s="17" t="s">
        <v>175</v>
      </c>
      <c r="D93" s="3" t="s">
        <v>1548</v>
      </c>
      <c r="E93" s="3" t="s">
        <v>1549</v>
      </c>
      <c r="F93" s="77"/>
      <c r="G93" s="77"/>
      <c r="H93" s="8">
        <v>3000</v>
      </c>
      <c r="I93" s="22">
        <v>0</v>
      </c>
      <c r="J93" s="22" t="s">
        <v>1124</v>
      </c>
      <c r="O93" s="3">
        <v>3000</v>
      </c>
      <c r="P93" s="3">
        <v>3000</v>
      </c>
    </row>
    <row r="94" s="17" customFormat="1" spans="1:8">
      <c r="A94" s="17" t="s">
        <v>1294</v>
      </c>
      <c r="B94" s="78" t="s">
        <v>449</v>
      </c>
      <c r="C94" s="22" t="s">
        <v>1206</v>
      </c>
      <c r="D94" s="17" t="s">
        <v>1550</v>
      </c>
      <c r="E94" s="79" t="s">
        <v>1551</v>
      </c>
      <c r="F94" s="63" t="s">
        <v>1552</v>
      </c>
      <c r="G94" s="63" t="s">
        <v>522</v>
      </c>
      <c r="H94" s="17">
        <v>30000</v>
      </c>
    </row>
    <row r="95" s="17" customFormat="1" spans="1:8">
      <c r="A95" s="17" t="s">
        <v>1294</v>
      </c>
      <c r="B95" s="78" t="s">
        <v>674</v>
      </c>
      <c r="C95" s="22" t="s">
        <v>1206</v>
      </c>
      <c r="D95" s="80" t="s">
        <v>1553</v>
      </c>
      <c r="E95" s="81" t="s">
        <v>128</v>
      </c>
      <c r="F95" s="63" t="s">
        <v>1554</v>
      </c>
      <c r="G95" s="63" t="s">
        <v>665</v>
      </c>
      <c r="H95" s="17">
        <v>16000</v>
      </c>
    </row>
    <row r="96" s="51" customFormat="1" spans="1:31">
      <c r="A96" s="17" t="s">
        <v>1121</v>
      </c>
      <c r="B96" s="51" t="s">
        <v>1021</v>
      </c>
      <c r="C96" s="51" t="s">
        <v>1555</v>
      </c>
      <c r="D96" s="51" t="s">
        <v>1556</v>
      </c>
      <c r="E96" s="51" t="s">
        <v>128</v>
      </c>
      <c r="F96" s="51" t="s">
        <v>250</v>
      </c>
      <c r="G96" s="51" t="s">
        <v>1557</v>
      </c>
      <c r="H96" s="51">
        <v>18000</v>
      </c>
      <c r="M96" s="51" t="s">
        <v>1558</v>
      </c>
      <c r="N96" s="51">
        <v>9000</v>
      </c>
      <c r="R96" s="51" t="s">
        <v>1559</v>
      </c>
      <c r="S96" s="51">
        <v>5400</v>
      </c>
      <c r="W96" s="51" t="s">
        <v>1560</v>
      </c>
      <c r="X96" s="51">
        <v>3600</v>
      </c>
      <c r="AD96" s="51">
        <f>SUM(AD2:AD95)</f>
        <v>17000</v>
      </c>
      <c r="AE96" s="51">
        <f>SUM(AE2:AE95)</f>
        <v>17000</v>
      </c>
    </row>
    <row r="97" s="17" customFormat="1" spans="1:21">
      <c r="A97" s="17" t="s">
        <v>1121</v>
      </c>
      <c r="B97" s="17" t="s">
        <v>466</v>
      </c>
      <c r="C97" s="17" t="s">
        <v>467</v>
      </c>
      <c r="D97" s="17" t="s">
        <v>1561</v>
      </c>
      <c r="E97" s="17" t="s">
        <v>1562</v>
      </c>
      <c r="F97" s="17" t="s">
        <v>1563</v>
      </c>
      <c r="G97" s="17" t="s">
        <v>405</v>
      </c>
      <c r="H97" s="17">
        <v>46000</v>
      </c>
      <c r="N97" s="17">
        <v>32200</v>
      </c>
      <c r="O97" s="17">
        <v>32200</v>
      </c>
      <c r="P97" s="17">
        <v>32200</v>
      </c>
      <c r="S97" s="17">
        <v>13800</v>
      </c>
      <c r="T97" s="17">
        <v>13800</v>
      </c>
      <c r="U97" s="17">
        <v>13800</v>
      </c>
    </row>
    <row r="98" s="3" customFormat="1" spans="1:21">
      <c r="A98" s="3" t="s">
        <v>1121</v>
      </c>
      <c r="B98" s="3" t="s">
        <v>1564</v>
      </c>
      <c r="C98" s="3" t="s">
        <v>1565</v>
      </c>
      <c r="E98" s="3" t="s">
        <v>1566</v>
      </c>
      <c r="O98" s="3">
        <v>4500</v>
      </c>
      <c r="P98" s="3">
        <v>4500</v>
      </c>
      <c r="T98" s="49">
        <v>10500</v>
      </c>
      <c r="U98" s="49">
        <v>10500</v>
      </c>
    </row>
    <row r="99" s="3" customFormat="1" spans="1:21">
      <c r="A99" s="3" t="s">
        <v>1121</v>
      </c>
      <c r="C99" s="3" t="s">
        <v>1565</v>
      </c>
      <c r="E99" s="3" t="s">
        <v>1567</v>
      </c>
      <c r="O99" s="3">
        <f>9000+6000</f>
        <v>15000</v>
      </c>
      <c r="P99" s="3">
        <f>9000+6000</f>
        <v>15000</v>
      </c>
      <c r="T99" s="49">
        <v>21000</v>
      </c>
      <c r="U99" s="49">
        <v>21000</v>
      </c>
    </row>
    <row r="100" s="3" customFormat="1" spans="1:16">
      <c r="A100" s="3" t="s">
        <v>1121</v>
      </c>
      <c r="C100" s="3" t="s">
        <v>288</v>
      </c>
      <c r="E100" s="3" t="s">
        <v>1568</v>
      </c>
      <c r="O100" s="3">
        <v>4504.5</v>
      </c>
      <c r="P100" s="3">
        <v>4504.5</v>
      </c>
    </row>
    <row r="101" s="3" customFormat="1" spans="1:16">
      <c r="A101" s="3" t="s">
        <v>1121</v>
      </c>
      <c r="C101" s="3" t="s">
        <v>1569</v>
      </c>
      <c r="E101" s="3" t="s">
        <v>1570</v>
      </c>
      <c r="P101" s="3">
        <v>526.5</v>
      </c>
    </row>
    <row r="102" s="3" customFormat="1" spans="1:16">
      <c r="A102" s="3" t="s">
        <v>1121</v>
      </c>
      <c r="C102" s="3" t="s">
        <v>1569</v>
      </c>
      <c r="E102" s="3" t="s">
        <v>1571</v>
      </c>
      <c r="O102" s="3">
        <v>7526.5</v>
      </c>
      <c r="P102" s="3">
        <v>7000</v>
      </c>
    </row>
    <row r="103" s="3" customFormat="1" spans="1:21">
      <c r="A103" s="3" t="s">
        <v>1121</v>
      </c>
      <c r="C103" s="3" t="s">
        <v>85</v>
      </c>
      <c r="E103" s="3" t="s">
        <v>1572</v>
      </c>
      <c r="O103" s="3">
        <v>3000</v>
      </c>
      <c r="T103" s="3">
        <v>15000</v>
      </c>
      <c r="U103" s="13">
        <v>15000</v>
      </c>
    </row>
    <row r="104" s="3" customFormat="1" spans="1:16">
      <c r="A104" s="3" t="s">
        <v>1121</v>
      </c>
      <c r="C104" s="3" t="s">
        <v>1573</v>
      </c>
      <c r="E104" s="3" t="s">
        <v>561</v>
      </c>
      <c r="O104" s="3">
        <v>8500</v>
      </c>
      <c r="P104" s="3">
        <v>8500</v>
      </c>
    </row>
    <row r="105" s="3" customFormat="1" spans="1:15">
      <c r="A105" s="3" t="s">
        <v>1121</v>
      </c>
      <c r="C105" s="3" t="s">
        <v>1573</v>
      </c>
      <c r="E105" s="3" t="s">
        <v>1574</v>
      </c>
      <c r="O105" s="3">
        <f>8424+1521</f>
        <v>9945</v>
      </c>
    </row>
    <row r="106" s="3" customFormat="1" spans="1:16">
      <c r="A106" s="3" t="s">
        <v>1121</v>
      </c>
      <c r="C106" s="3" t="s">
        <v>1573</v>
      </c>
      <c r="E106" s="3" t="s">
        <v>128</v>
      </c>
      <c r="O106" s="3">
        <v>15500</v>
      </c>
      <c r="P106" s="3">
        <v>15500</v>
      </c>
    </row>
    <row r="107" s="3" customFormat="1" spans="1:21">
      <c r="A107" s="3" t="s">
        <v>1121</v>
      </c>
      <c r="C107" s="3" t="s">
        <v>256</v>
      </c>
      <c r="E107" s="3" t="s">
        <v>1575</v>
      </c>
      <c r="O107" s="3">
        <v>51450</v>
      </c>
      <c r="P107" s="3">
        <v>51450</v>
      </c>
      <c r="T107" s="3">
        <v>22050</v>
      </c>
      <c r="U107" s="3">
        <v>22050</v>
      </c>
    </row>
    <row r="108" s="3" customFormat="1" spans="1:16">
      <c r="A108" s="3" t="s">
        <v>1121</v>
      </c>
      <c r="C108" s="3" t="s">
        <v>1576</v>
      </c>
      <c r="E108" s="3" t="s">
        <v>1577</v>
      </c>
      <c r="O108" s="3">
        <v>11500</v>
      </c>
      <c r="P108" s="3">
        <v>11500</v>
      </c>
    </row>
    <row r="109" s="3" customFormat="1" spans="1:16">
      <c r="A109" s="3" t="s">
        <v>1121</v>
      </c>
      <c r="C109" s="3" t="s">
        <v>1578</v>
      </c>
      <c r="E109" s="3" t="s">
        <v>1579</v>
      </c>
      <c r="O109" s="3">
        <v>20100</v>
      </c>
      <c r="P109" s="3">
        <v>20100</v>
      </c>
    </row>
    <row r="110" s="3" customFormat="1" spans="1:26">
      <c r="A110" s="3" t="s">
        <v>1121</v>
      </c>
      <c r="C110" s="3" t="s">
        <v>1580</v>
      </c>
      <c r="E110" s="3" t="s">
        <v>1581</v>
      </c>
      <c r="N110" s="3">
        <v>9400</v>
      </c>
      <c r="O110" s="3">
        <v>18800</v>
      </c>
      <c r="P110" s="3">
        <v>18800</v>
      </c>
      <c r="T110" s="3">
        <v>18800</v>
      </c>
      <c r="U110" s="3">
        <v>18800</v>
      </c>
      <c r="Y110" s="3">
        <v>9400</v>
      </c>
      <c r="Z110" s="3">
        <v>9400</v>
      </c>
    </row>
    <row r="111" s="3" customFormat="1" spans="1:15">
      <c r="A111" s="3" t="s">
        <v>1121</v>
      </c>
      <c r="C111" s="3" t="s">
        <v>1582</v>
      </c>
      <c r="E111" s="3" t="s">
        <v>1583</v>
      </c>
      <c r="O111" s="3">
        <v>17000</v>
      </c>
    </row>
    <row r="112" s="3" customFormat="1" spans="1:15">
      <c r="A112" s="3" t="s">
        <v>1121</v>
      </c>
      <c r="C112" s="3" t="s">
        <v>1582</v>
      </c>
      <c r="E112" s="3" t="s">
        <v>1584</v>
      </c>
      <c r="O112" s="3">
        <v>17000</v>
      </c>
    </row>
    <row r="113" s="3" customFormat="1" spans="1:20">
      <c r="A113" s="3" t="s">
        <v>1121</v>
      </c>
      <c r="C113" s="3" t="s">
        <v>1395</v>
      </c>
      <c r="O113" s="3">
        <f>13300+4950</f>
        <v>18250</v>
      </c>
      <c r="T113" s="3">
        <v>3700</v>
      </c>
    </row>
    <row r="114" s="3" customFormat="1" spans="1:20">
      <c r="A114" s="3" t="s">
        <v>1121</v>
      </c>
      <c r="C114" s="3" t="s">
        <v>467</v>
      </c>
      <c r="O114" s="3">
        <f>12084+124042.5</f>
        <v>136126.5</v>
      </c>
      <c r="T114" s="3">
        <v>23436.6</v>
      </c>
    </row>
    <row r="115" s="3" customFormat="1" spans="1:15">
      <c r="A115" s="3" t="s">
        <v>1121</v>
      </c>
      <c r="C115" s="3" t="s">
        <v>1585</v>
      </c>
      <c r="O115" s="3">
        <v>29970</v>
      </c>
    </row>
    <row r="116" s="3" customFormat="1" spans="1:16">
      <c r="A116" s="3" t="s">
        <v>1121</v>
      </c>
      <c r="C116" s="3" t="s">
        <v>1586</v>
      </c>
      <c r="E116" s="3" t="s">
        <v>1587</v>
      </c>
      <c r="O116" s="3">
        <f>1350+1350</f>
        <v>2700</v>
      </c>
      <c r="P116" s="3">
        <v>1350</v>
      </c>
    </row>
    <row r="117" s="3" customFormat="1" spans="1:21">
      <c r="A117" s="3" t="s">
        <v>1121</v>
      </c>
      <c r="C117" s="3" t="s">
        <v>1586</v>
      </c>
      <c r="E117" s="3" t="s">
        <v>1588</v>
      </c>
      <c r="O117" s="3">
        <v>10500</v>
      </c>
      <c r="P117" s="3">
        <v>10500</v>
      </c>
      <c r="T117" s="3">
        <v>5250</v>
      </c>
      <c r="U117" s="3">
        <f>5250+5250</f>
        <v>10500</v>
      </c>
    </row>
    <row r="118" s="3" customFormat="1" spans="1:20">
      <c r="A118" s="3" t="s">
        <v>1121</v>
      </c>
      <c r="C118" s="3" t="s">
        <v>725</v>
      </c>
      <c r="O118" s="3">
        <v>15608.5</v>
      </c>
      <c r="P118" s="3">
        <v>15608.5</v>
      </c>
      <c r="T118" s="3">
        <v>8645.5</v>
      </c>
    </row>
    <row r="119" s="3" customFormat="1" spans="1:16">
      <c r="A119" s="3" t="s">
        <v>1121</v>
      </c>
      <c r="C119" s="3" t="s">
        <v>725</v>
      </c>
      <c r="E119" s="3" t="s">
        <v>1589</v>
      </c>
      <c r="O119" s="3">
        <v>8900</v>
      </c>
      <c r="P119" s="3">
        <v>8900</v>
      </c>
    </row>
    <row r="120" s="3" customFormat="1" spans="1:20">
      <c r="A120" s="3" t="s">
        <v>1121</v>
      </c>
      <c r="C120" s="3" t="s">
        <v>681</v>
      </c>
      <c r="E120" s="3" t="s">
        <v>128</v>
      </c>
      <c r="O120" s="3">
        <v>8675</v>
      </c>
      <c r="P120" s="3">
        <v>8675</v>
      </c>
      <c r="T120" s="3">
        <v>2941.67</v>
      </c>
    </row>
    <row r="121" s="3" customFormat="1" spans="1:16">
      <c r="A121" s="3" t="s">
        <v>1121</v>
      </c>
      <c r="C121" s="27" t="s">
        <v>1131</v>
      </c>
      <c r="E121" s="3" t="s">
        <v>1590</v>
      </c>
      <c r="O121" s="3">
        <v>5850</v>
      </c>
      <c r="P121" s="3">
        <v>5850</v>
      </c>
    </row>
    <row r="122" s="3" customFormat="1" spans="1:16">
      <c r="A122" s="3" t="s">
        <v>1121</v>
      </c>
      <c r="C122" s="3" t="s">
        <v>761</v>
      </c>
      <c r="E122" s="3" t="s">
        <v>1229</v>
      </c>
      <c r="O122" s="3">
        <v>8400</v>
      </c>
      <c r="P122" s="3">
        <v>8400</v>
      </c>
    </row>
    <row r="123" s="3" customFormat="1" spans="1:16">
      <c r="A123" s="3" t="s">
        <v>1121</v>
      </c>
      <c r="C123" s="3" t="s">
        <v>1591</v>
      </c>
      <c r="E123" s="3" t="s">
        <v>1592</v>
      </c>
      <c r="P123" s="3">
        <v>-2691</v>
      </c>
    </row>
    <row r="124" s="3" customFormat="1" spans="1:16">
      <c r="A124" s="3" t="s">
        <v>1121</v>
      </c>
      <c r="C124" s="3" t="s">
        <v>1578</v>
      </c>
      <c r="E124" s="3" t="s">
        <v>1593</v>
      </c>
      <c r="P124" s="3">
        <v>-20100</v>
      </c>
    </row>
    <row r="125" s="3" customFormat="1" spans="1:16">
      <c r="A125" s="3" t="s">
        <v>1121</v>
      </c>
      <c r="C125" s="3" t="s">
        <v>1578</v>
      </c>
      <c r="E125" s="3" t="s">
        <v>1579</v>
      </c>
      <c r="P125" s="3">
        <v>20100</v>
      </c>
    </row>
    <row r="126" s="3" customFormat="1" spans="1:15">
      <c r="A126" s="3" t="s">
        <v>1121</v>
      </c>
      <c r="C126" s="3" t="s">
        <v>1594</v>
      </c>
      <c r="O126" s="3">
        <f>20000+40000</f>
        <v>60000</v>
      </c>
    </row>
    <row r="127" s="3" customFormat="1" spans="1:16">
      <c r="A127" s="3" t="s">
        <v>1121</v>
      </c>
      <c r="C127" s="3" t="s">
        <v>1595</v>
      </c>
      <c r="E127" s="3" t="s">
        <v>1596</v>
      </c>
      <c r="P127" s="3">
        <v>1800</v>
      </c>
    </row>
    <row r="128" s="3" customFormat="1" spans="1:16">
      <c r="A128" s="3" t="s">
        <v>1121</v>
      </c>
      <c r="C128" s="3" t="s">
        <v>1597</v>
      </c>
      <c r="E128" s="3" t="s">
        <v>1598</v>
      </c>
      <c r="P128" s="3">
        <v>45000</v>
      </c>
    </row>
    <row r="129" s="3" customFormat="1" spans="1:16">
      <c r="A129" s="3" t="s">
        <v>1121</v>
      </c>
      <c r="C129" s="3" t="s">
        <v>1599</v>
      </c>
      <c r="E129" s="3" t="s">
        <v>1600</v>
      </c>
      <c r="O129" s="3">
        <v>32000</v>
      </c>
      <c r="P129" s="3">
        <v>112000</v>
      </c>
    </row>
    <row r="130" s="3" customFormat="1" spans="1:5">
      <c r="A130" s="3" t="s">
        <v>1121</v>
      </c>
      <c r="C130" s="3" t="s">
        <v>1601</v>
      </c>
      <c r="E130" s="3" t="s">
        <v>1602</v>
      </c>
    </row>
    <row r="131" s="3" customFormat="1" spans="1:16">
      <c r="A131" s="3" t="s">
        <v>1121</v>
      </c>
      <c r="C131" s="3" t="s">
        <v>1603</v>
      </c>
      <c r="E131" s="3" t="s">
        <v>1604</v>
      </c>
      <c r="P131" s="3">
        <f>300000+383149.75</f>
        <v>683149.75</v>
      </c>
    </row>
    <row r="132" s="3" customFormat="1" spans="1:21">
      <c r="A132" s="3" t="s">
        <v>1121</v>
      </c>
      <c r="C132" s="27" t="s">
        <v>838</v>
      </c>
      <c r="E132" s="27" t="s">
        <v>1605</v>
      </c>
      <c r="O132" s="3">
        <v>15000</v>
      </c>
      <c r="P132" s="3">
        <v>15000</v>
      </c>
      <c r="T132" s="3">
        <v>15000</v>
      </c>
      <c r="U132" s="3">
        <v>15000</v>
      </c>
    </row>
    <row r="133" s="3" customFormat="1" spans="1:16">
      <c r="A133" s="3" t="s">
        <v>1121</v>
      </c>
      <c r="C133" s="27" t="s">
        <v>1606</v>
      </c>
      <c r="E133" s="27" t="s">
        <v>720</v>
      </c>
      <c r="O133" s="3">
        <v>7100</v>
      </c>
      <c r="P133" s="3">
        <v>7100</v>
      </c>
    </row>
    <row r="134" s="3" customFormat="1" spans="1:16">
      <c r="A134" s="3" t="s">
        <v>1121</v>
      </c>
      <c r="C134" s="3" t="s">
        <v>1607</v>
      </c>
      <c r="E134" s="3" t="s">
        <v>1572</v>
      </c>
      <c r="O134" s="3">
        <v>16000</v>
      </c>
      <c r="P134" s="3">
        <v>16000</v>
      </c>
    </row>
    <row r="135" s="3" customFormat="1" spans="1:16">
      <c r="A135" s="3" t="s">
        <v>1121</v>
      </c>
      <c r="C135" s="3" t="s">
        <v>1608</v>
      </c>
      <c r="E135" s="3" t="s">
        <v>1596</v>
      </c>
      <c r="O135" s="3">
        <v>3788.4</v>
      </c>
      <c r="P135" s="3">
        <v>3788.4</v>
      </c>
    </row>
    <row r="136" s="3" customFormat="1" spans="1:16">
      <c r="A136" s="3" t="s">
        <v>1121</v>
      </c>
      <c r="C136" s="3" t="s">
        <v>1609</v>
      </c>
      <c r="E136" s="3" t="s">
        <v>1610</v>
      </c>
      <c r="O136" s="3">
        <v>1427.4</v>
      </c>
      <c r="P136" s="3">
        <v>1427.4</v>
      </c>
    </row>
    <row r="137" s="3" customFormat="1" spans="3:16">
      <c r="C137" s="3" t="s">
        <v>1609</v>
      </c>
      <c r="E137" s="3" t="s">
        <v>1611</v>
      </c>
      <c r="O137" s="3">
        <v>2600</v>
      </c>
      <c r="P137" s="3">
        <v>2600</v>
      </c>
    </row>
    <row r="138" s="3" customFormat="1" spans="1:16">
      <c r="A138" s="3" t="s">
        <v>1121</v>
      </c>
      <c r="C138" s="3" t="s">
        <v>1612</v>
      </c>
      <c r="O138" s="3">
        <v>47500</v>
      </c>
      <c r="P138" s="3">
        <v>47500</v>
      </c>
    </row>
    <row r="139" s="3" customFormat="1" spans="1:15">
      <c r="A139" s="3" t="s">
        <v>1121</v>
      </c>
      <c r="C139" s="3" t="s">
        <v>310</v>
      </c>
      <c r="O139" s="3">
        <v>5000</v>
      </c>
    </row>
    <row r="140" s="3" customFormat="1" spans="1:20">
      <c r="A140" s="3" t="s">
        <v>1121</v>
      </c>
      <c r="C140" s="3" t="s">
        <v>1144</v>
      </c>
      <c r="O140" s="3">
        <v>30000</v>
      </c>
      <c r="T140" s="3">
        <v>30000</v>
      </c>
    </row>
    <row r="141" s="3" customFormat="1" spans="1:16">
      <c r="A141" s="3" t="s">
        <v>1121</v>
      </c>
      <c r="C141" s="3" t="s">
        <v>1613</v>
      </c>
      <c r="E141" s="3" t="s">
        <v>1614</v>
      </c>
      <c r="P141" s="3">
        <v>2000</v>
      </c>
    </row>
    <row r="142" s="3" customFormat="1" spans="1:16">
      <c r="A142" s="3" t="s">
        <v>1121</v>
      </c>
      <c r="C142" s="3" t="s">
        <v>473</v>
      </c>
      <c r="E142" s="3" t="s">
        <v>1615</v>
      </c>
      <c r="O142" s="3">
        <v>80000</v>
      </c>
      <c r="P142" s="3">
        <v>180000</v>
      </c>
    </row>
    <row r="143" s="3" customFormat="1" spans="1:16">
      <c r="A143" s="3" t="s">
        <v>1121</v>
      </c>
      <c r="C143" s="3" t="s">
        <v>1616</v>
      </c>
      <c r="E143" s="3" t="s">
        <v>1617</v>
      </c>
      <c r="O143" s="3">
        <v>12600</v>
      </c>
      <c r="P143" s="3">
        <v>12600</v>
      </c>
    </row>
    <row r="144" s="3" customFormat="1" spans="1:16">
      <c r="A144" s="3" t="s">
        <v>1121</v>
      </c>
      <c r="C144" s="3" t="s">
        <v>1618</v>
      </c>
      <c r="O144" s="3">
        <v>13384.62</v>
      </c>
      <c r="P144" s="3">
        <v>13384.62</v>
      </c>
    </row>
    <row r="145" s="3" customFormat="1" spans="1:15">
      <c r="A145" s="3" t="s">
        <v>1121</v>
      </c>
      <c r="C145" s="15" t="s">
        <v>1591</v>
      </c>
      <c r="E145" s="3" t="s">
        <v>1619</v>
      </c>
      <c r="O145" s="3">
        <v>69002</v>
      </c>
    </row>
    <row r="146" s="3" customFormat="1" spans="1:16">
      <c r="A146" s="3" t="s">
        <v>1121</v>
      </c>
      <c r="C146" s="3" t="s">
        <v>1620</v>
      </c>
      <c r="E146" s="3" t="s">
        <v>1621</v>
      </c>
      <c r="O146" s="3">
        <v>541254.9</v>
      </c>
      <c r="P146" s="3">
        <f>495840+73902</f>
        <v>569742</v>
      </c>
    </row>
    <row r="147" s="3" customFormat="1" spans="1:31">
      <c r="A147" s="3" t="s">
        <v>1121</v>
      </c>
      <c r="C147" s="27" t="s">
        <v>1344</v>
      </c>
      <c r="E147" s="3" t="s">
        <v>1622</v>
      </c>
      <c r="O147" s="3">
        <v>987416.5</v>
      </c>
      <c r="P147" s="3">
        <v>987416.5</v>
      </c>
      <c r="T147" s="3">
        <v>664500</v>
      </c>
      <c r="U147" s="3">
        <v>664500</v>
      </c>
      <c r="Y147" s="3">
        <v>800000</v>
      </c>
      <c r="Z147" s="3">
        <f>110000*10+100000</f>
        <v>1200000</v>
      </c>
      <c r="AD147" s="3">
        <v>438083.5</v>
      </c>
      <c r="AE147" s="3">
        <v>438083.5</v>
      </c>
    </row>
    <row r="148" s="3" customFormat="1" spans="1:16">
      <c r="A148" s="3" t="s">
        <v>1121</v>
      </c>
      <c r="C148" s="3" t="s">
        <v>1623</v>
      </c>
      <c r="E148" s="3" t="s">
        <v>1624</v>
      </c>
      <c r="O148" s="3">
        <v>99800</v>
      </c>
      <c r="P148" s="3">
        <f>10000+50000+39800</f>
        <v>99800</v>
      </c>
    </row>
    <row r="149" s="13" customFormat="1" spans="1:31">
      <c r="A149" s="3" t="s">
        <v>1121</v>
      </c>
      <c r="C149" s="13" t="s">
        <v>154</v>
      </c>
      <c r="E149" s="13" t="s">
        <v>1505</v>
      </c>
      <c r="O149" s="13">
        <v>22000</v>
      </c>
      <c r="P149" s="13">
        <v>22000</v>
      </c>
      <c r="T149" s="3"/>
      <c r="U149" s="3"/>
      <c r="Y149" s="3"/>
      <c r="Z149" s="3"/>
      <c r="AD149" s="13">
        <v>44000</v>
      </c>
      <c r="AE149" s="13">
        <v>44000</v>
      </c>
    </row>
    <row r="150" s="3" customFormat="1" spans="1:15">
      <c r="A150" s="3" t="s">
        <v>1121</v>
      </c>
      <c r="C150" s="27" t="s">
        <v>1408</v>
      </c>
      <c r="E150" s="3" t="s">
        <v>1625</v>
      </c>
      <c r="O150" s="3">
        <v>2391.2</v>
      </c>
    </row>
    <row r="151" s="13" customFormat="1" spans="1:15">
      <c r="A151" s="3" t="s">
        <v>1121</v>
      </c>
      <c r="C151" s="13" t="s">
        <v>1626</v>
      </c>
      <c r="E151" s="13" t="s">
        <v>1627</v>
      </c>
      <c r="O151" s="13">
        <v>14500</v>
      </c>
    </row>
    <row r="152" s="13" customFormat="1" spans="1:16">
      <c r="A152" s="3" t="s">
        <v>1121</v>
      </c>
      <c r="C152" s="13" t="s">
        <v>302</v>
      </c>
      <c r="E152" s="13" t="s">
        <v>1628</v>
      </c>
      <c r="O152" s="13">
        <v>8000</v>
      </c>
      <c r="P152" s="13">
        <v>8000</v>
      </c>
    </row>
    <row r="153" s="13" customFormat="1" spans="1:16">
      <c r="A153" s="3" t="s">
        <v>1121</v>
      </c>
      <c r="C153" s="13" t="s">
        <v>1629</v>
      </c>
      <c r="E153" s="13" t="s">
        <v>1630</v>
      </c>
      <c r="O153" s="13">
        <v>35560</v>
      </c>
      <c r="P153" s="13">
        <v>35560</v>
      </c>
    </row>
    <row r="154" s="13" customFormat="1" spans="1:16">
      <c r="A154" s="3" t="s">
        <v>1121</v>
      </c>
      <c r="C154" s="13" t="s">
        <v>1631</v>
      </c>
      <c r="E154" s="13" t="s">
        <v>1632</v>
      </c>
      <c r="O154" s="13">
        <v>15687</v>
      </c>
      <c r="P154" s="13">
        <v>15687</v>
      </c>
    </row>
    <row r="155" s="3" customFormat="1" spans="1:15">
      <c r="A155" s="3" t="s">
        <v>1121</v>
      </c>
      <c r="C155" s="3" t="s">
        <v>1542</v>
      </c>
      <c r="E155" s="3" t="s">
        <v>1633</v>
      </c>
      <c r="O155" s="3">
        <v>14000</v>
      </c>
    </row>
    <row r="158" s="3" customFormat="1" spans="1:16">
      <c r="A158" s="3" t="s">
        <v>1121</v>
      </c>
      <c r="C158" s="3" t="s">
        <v>1634</v>
      </c>
      <c r="E158" s="3" t="s">
        <v>1635</v>
      </c>
      <c r="O158" s="3">
        <v>340316</v>
      </c>
      <c r="P158" s="3">
        <f>108986*2+108988</f>
        <v>326960</v>
      </c>
    </row>
    <row r="159" s="3" customFormat="1" spans="1:16">
      <c r="A159" s="3" t="s">
        <v>1121</v>
      </c>
      <c r="C159" s="3" t="s">
        <v>1634</v>
      </c>
      <c r="E159" s="3" t="s">
        <v>1636</v>
      </c>
      <c r="P159" s="3">
        <v>13356</v>
      </c>
    </row>
    <row r="160" s="3" customFormat="1" spans="1:21">
      <c r="A160" s="3" t="s">
        <v>1121</v>
      </c>
      <c r="C160" s="3" t="s">
        <v>652</v>
      </c>
      <c r="E160" s="3" t="s">
        <v>1637</v>
      </c>
      <c r="O160" s="3">
        <v>6608</v>
      </c>
      <c r="P160" s="3">
        <v>6608</v>
      </c>
      <c r="U160" s="3">
        <v>85500</v>
      </c>
    </row>
    <row r="161" s="13" customFormat="1" spans="1:16">
      <c r="A161" s="3" t="s">
        <v>1121</v>
      </c>
      <c r="C161" s="13" t="s">
        <v>1638</v>
      </c>
      <c r="E161" s="13" t="s">
        <v>1639</v>
      </c>
      <c r="H161" s="13">
        <v>60000</v>
      </c>
      <c r="O161" s="13">
        <v>60000</v>
      </c>
      <c r="P161" s="13">
        <v>60000</v>
      </c>
    </row>
    <row r="162" s="3" customFormat="1" spans="1:15">
      <c r="A162" s="3" t="s">
        <v>1121</v>
      </c>
      <c r="C162" s="3" t="s">
        <v>1640</v>
      </c>
      <c r="O162" s="3">
        <v>70000</v>
      </c>
    </row>
    <row r="163" s="3" customFormat="1" spans="1:16">
      <c r="A163" s="3" t="s">
        <v>1121</v>
      </c>
      <c r="C163" s="3" t="s">
        <v>1601</v>
      </c>
      <c r="E163" s="3" t="s">
        <v>1641</v>
      </c>
      <c r="O163" s="60">
        <v>1205</v>
      </c>
      <c r="P163" s="3">
        <v>1205</v>
      </c>
    </row>
    <row r="164" s="13" customFormat="1" spans="1:16">
      <c r="A164" s="3" t="s">
        <v>1121</v>
      </c>
      <c r="C164" s="13" t="s">
        <v>294</v>
      </c>
      <c r="D164" s="13" t="s">
        <v>1642</v>
      </c>
      <c r="E164" s="13" t="s">
        <v>1643</v>
      </c>
      <c r="O164" s="13">
        <v>92137.5</v>
      </c>
      <c r="P164" s="13">
        <v>92137.5</v>
      </c>
    </row>
    <row r="165" s="49" customFormat="1" spans="2:16">
      <c r="B165" s="27" t="s">
        <v>385</v>
      </c>
      <c r="C165" s="27" t="s">
        <v>386</v>
      </c>
      <c r="D165" s="3" t="s">
        <v>1355</v>
      </c>
      <c r="E165" s="27" t="s">
        <v>1240</v>
      </c>
      <c r="F165" s="53"/>
      <c r="G165" s="53"/>
      <c r="H165" s="27">
        <v>30000</v>
      </c>
      <c r="I165" s="27"/>
      <c r="J165" s="27"/>
      <c r="K165" s="27"/>
      <c r="L165" s="27"/>
      <c r="M165" s="3" t="s">
        <v>1356</v>
      </c>
      <c r="N165" s="3"/>
      <c r="O165" s="3">
        <v>15000</v>
      </c>
      <c r="P165" s="3">
        <v>15000</v>
      </c>
    </row>
    <row r="166" s="49" customFormat="1"/>
    <row r="167" s="49" customFormat="1"/>
    <row r="168" s="49" customFormat="1"/>
    <row r="169" s="49" customFormat="1"/>
    <row r="170" s="49" customFormat="1"/>
    <row r="171" s="1" customFormat="1" spans="15:26">
      <c r="O171" s="1">
        <f t="shared" ref="O171:U171" si="1">SUM(O98:O164)</f>
        <v>3155584.52</v>
      </c>
      <c r="P171" s="1">
        <f t="shared" si="1"/>
        <v>3595795.67</v>
      </c>
      <c r="T171" s="1">
        <f t="shared" si="1"/>
        <v>840823.77</v>
      </c>
      <c r="U171" s="1">
        <f t="shared" si="1"/>
        <v>862850</v>
      </c>
      <c r="Y171" s="1">
        <f>SUM(Y98:Y164)</f>
        <v>809400</v>
      </c>
      <c r="Z171" s="1">
        <f>SUM(Z98:Z164)</f>
        <v>1209400</v>
      </c>
    </row>
    <row r="180" s="3" customFormat="1" spans="1:16">
      <c r="A180" s="3" t="s">
        <v>513</v>
      </c>
      <c r="C180" s="3" t="s">
        <v>1644</v>
      </c>
      <c r="O180" s="3">
        <v>10000</v>
      </c>
      <c r="P180" s="3">
        <v>10000</v>
      </c>
    </row>
    <row r="181" s="3" customFormat="1" spans="3:16">
      <c r="C181" s="3" t="s">
        <v>1645</v>
      </c>
      <c r="E181" s="3" t="s">
        <v>1646</v>
      </c>
      <c r="O181" s="3">
        <v>20000</v>
      </c>
      <c r="P181" s="3">
        <v>20000</v>
      </c>
    </row>
    <row r="182" s="3" customFormat="1" spans="3:16">
      <c r="C182" s="3" t="s">
        <v>1647</v>
      </c>
      <c r="O182" s="3">
        <v>56000</v>
      </c>
      <c r="P182" s="3">
        <v>56000</v>
      </c>
    </row>
    <row r="183" s="3" customFormat="1" spans="3:16">
      <c r="C183" s="3" t="s">
        <v>1648</v>
      </c>
      <c r="O183" s="3">
        <v>5000</v>
      </c>
      <c r="P183" s="3">
        <v>5000</v>
      </c>
    </row>
    <row r="184" s="3" customFormat="1" spans="3:16">
      <c r="C184" s="83" t="s">
        <v>1649</v>
      </c>
      <c r="O184" s="86">
        <v>260675.9</v>
      </c>
      <c r="P184" s="3">
        <v>260675.9</v>
      </c>
    </row>
    <row r="185" s="3" customFormat="1" spans="15:16">
      <c r="O185" s="1">
        <f>SUM(O180:O184)</f>
        <v>351675.9</v>
      </c>
      <c r="P185" s="1">
        <f>SUM(P180:P184)</f>
        <v>351675.9</v>
      </c>
    </row>
    <row r="187" s="3" customFormat="1" spans="1:16">
      <c r="A187" s="3" t="s">
        <v>1358</v>
      </c>
      <c r="C187" s="83" t="s">
        <v>1650</v>
      </c>
      <c r="O187" s="87">
        <v>77200</v>
      </c>
      <c r="P187" s="3">
        <v>77200</v>
      </c>
    </row>
    <row r="188" s="3" customFormat="1" spans="1:16">
      <c r="A188" s="84"/>
      <c r="B188" s="84"/>
      <c r="C188" s="83" t="s">
        <v>1651</v>
      </c>
      <c r="O188" s="87">
        <v>2000</v>
      </c>
      <c r="P188" s="3">
        <v>2000</v>
      </c>
    </row>
    <row r="189" s="3" customFormat="1" spans="1:16">
      <c r="A189" s="85"/>
      <c r="B189" s="86"/>
      <c r="C189" s="83" t="s">
        <v>1652</v>
      </c>
      <c r="O189" s="87">
        <v>39500</v>
      </c>
      <c r="P189" s="3">
        <v>39500</v>
      </c>
    </row>
    <row r="190" s="3" customFormat="1" spans="1:16">
      <c r="A190" s="85"/>
      <c r="B190" s="86"/>
      <c r="C190" s="83" t="s">
        <v>1653</v>
      </c>
      <c r="O190" s="87">
        <v>52000</v>
      </c>
      <c r="P190" s="3">
        <v>52000</v>
      </c>
    </row>
    <row r="191" s="3" customFormat="1" spans="1:16">
      <c r="A191" s="85"/>
      <c r="B191" s="86"/>
      <c r="C191" s="83" t="s">
        <v>1654</v>
      </c>
      <c r="O191" s="87">
        <v>84500</v>
      </c>
      <c r="P191" s="3">
        <v>84500</v>
      </c>
    </row>
    <row r="192" s="3" customFormat="1" spans="1:16">
      <c r="A192" s="85"/>
      <c r="B192" s="86"/>
      <c r="C192" s="83" t="s">
        <v>1655</v>
      </c>
      <c r="O192" s="87">
        <v>3500</v>
      </c>
      <c r="P192" s="3">
        <v>3500</v>
      </c>
    </row>
    <row r="193" s="3" customFormat="1" spans="1:16">
      <c r="A193" s="85"/>
      <c r="B193" s="86"/>
      <c r="C193" s="83" t="s">
        <v>1656</v>
      </c>
      <c r="O193" s="87">
        <v>3500</v>
      </c>
      <c r="P193" s="3">
        <v>3500</v>
      </c>
    </row>
    <row r="194" s="3" customFormat="1" spans="1:16">
      <c r="A194" s="85"/>
      <c r="B194" s="86"/>
      <c r="C194" s="83" t="s">
        <v>1657</v>
      </c>
      <c r="O194" s="87">
        <v>70000</v>
      </c>
      <c r="P194" s="3">
        <v>70000</v>
      </c>
    </row>
    <row r="195" s="3" customFormat="1" spans="1:16">
      <c r="A195" s="85"/>
      <c r="B195" s="86"/>
      <c r="C195" s="83" t="s">
        <v>1658</v>
      </c>
      <c r="O195" s="87">
        <v>29400</v>
      </c>
      <c r="P195" s="3">
        <v>29400</v>
      </c>
    </row>
    <row r="196" s="3" customFormat="1" spans="1:16">
      <c r="A196" s="85"/>
      <c r="B196" s="86"/>
      <c r="C196" s="83" t="s">
        <v>1659</v>
      </c>
      <c r="O196" s="87">
        <v>4500</v>
      </c>
      <c r="P196" s="3">
        <v>4500</v>
      </c>
    </row>
    <row r="197" s="3" customFormat="1" spans="1:16">
      <c r="A197" s="85"/>
      <c r="B197" s="86"/>
      <c r="C197" s="83" t="s">
        <v>1660</v>
      </c>
      <c r="O197" s="87">
        <v>13000</v>
      </c>
      <c r="P197" s="3">
        <v>13000</v>
      </c>
    </row>
    <row r="198" s="3" customFormat="1" spans="15:16">
      <c r="O198" s="1">
        <f>SUM(O187:O197)</f>
        <v>379100</v>
      </c>
      <c r="P198" s="1">
        <f>SUM(P187:P197)</f>
        <v>379100</v>
      </c>
    </row>
    <row r="199" s="3" customFormat="1" spans="5:26">
      <c r="E199" s="3" t="s">
        <v>1661</v>
      </c>
      <c r="O199" s="1">
        <f>SUM(O96,O171,O185,O198,[1]工程、安装!K30)</f>
        <v>6525051.67</v>
      </c>
      <c r="P199" s="1">
        <f>SUM(P96,P171,P185,P198,[1]工程、安装!L30)</f>
        <v>7419240.82</v>
      </c>
      <c r="Q199" s="1">
        <f>SUM(Q96,Q171,Q185,Q198,[1]工程、安装!M30)</f>
        <v>0</v>
      </c>
      <c r="R199" s="1">
        <f>SUM(R96,R171,R185,R198,[1]工程、安装!N30)</f>
        <v>0</v>
      </c>
      <c r="S199" s="1">
        <f>SUM(S96,S171,S185,S198,[1]工程、安装!O30)</f>
        <v>5400</v>
      </c>
      <c r="T199" s="1">
        <f>SUM(T96,T171,T185,T198,[1]工程、安装!P30)</f>
        <v>2281165.895</v>
      </c>
      <c r="U199" s="1">
        <f>SUM(U96,U171,U185,U198,[1]工程、安装!Q30)</f>
        <v>2238472.125</v>
      </c>
      <c r="V199" s="1">
        <f>SUM(V96,V171,V185,V198,[1]工程、安装!R30)</f>
        <v>0</v>
      </c>
      <c r="W199" s="1">
        <f>SUM(W96,W171,W185,W198,[1]工程、安装!S30)</f>
        <v>0</v>
      </c>
      <c r="X199" s="1">
        <f>SUM(X96,X171,X185,X198,[1]工程、安装!T30)</f>
        <v>3600</v>
      </c>
      <c r="Y199" s="1">
        <f>SUM(Y96,Y171,Y185,Y198,[1]工程、安装!U30)</f>
        <v>1255900</v>
      </c>
      <c r="Z199" s="1">
        <f>SUM(Z96,Z171,Z185,Z198,[1]工程、安装!V30)</f>
        <v>1623400</v>
      </c>
    </row>
    <row r="200" s="3" customFormat="1" ht="36" customHeight="1" spans="1:16">
      <c r="A200" s="1" t="s">
        <v>1662</v>
      </c>
      <c r="O200" s="88">
        <f>O199+T199+Y199</f>
        <v>10062117.565</v>
      </c>
      <c r="P200" s="88">
        <f>P199+U199+Z199</f>
        <v>11281112.945</v>
      </c>
    </row>
  </sheetData>
  <mergeCells count="3">
    <mergeCell ref="I6:I7"/>
    <mergeCell ref="J6:J7"/>
    <mergeCell ref="K6:K7"/>
  </mergeCells>
  <dataValidations count="2">
    <dataValidation type="list" allowBlank="1" showInputMessage="1" showErrorMessage="1" sqref="B84 B85 B86">
      <formula1>"销售部,采购部,工程部,运行部,行政综合部,财务部,网络部,"</formula1>
    </dataValidation>
    <dataValidation type="list" allowBlank="1" showInputMessage="1" showErrorMessage="1" sqref="B189 B190 B191 B192 B193 B194 B195 B196 B197">
      <formula1>"销售部,工程部,运维部,采购部,财务部,行政综合部,网络部"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7"/>
  <sheetViews>
    <sheetView workbookViewId="0">
      <selection activeCell="E29" sqref="E29"/>
    </sheetView>
  </sheetViews>
  <sheetFormatPr defaultColWidth="9" defaultRowHeight="13.5"/>
  <cols>
    <col min="1" max="1" width="6" customWidth="1"/>
    <col min="2" max="2" width="10.5" customWidth="1"/>
    <col min="3" max="3" width="28.75" customWidth="1"/>
    <col min="4" max="4" width="16.5" customWidth="1"/>
    <col min="5" max="5" width="46.125" customWidth="1"/>
    <col min="6" max="6" width="14.875" style="7" customWidth="1"/>
    <col min="7" max="7" width="14" style="7" customWidth="1"/>
    <col min="8" max="8" width="10.375"/>
    <col min="9" max="9" width="12" customWidth="1"/>
    <col min="10" max="10" width="9.375"/>
    <col min="11" max="12" width="12.875"/>
    <col min="14" max="14" width="11.75" customWidth="1"/>
    <col min="16" max="17" width="10.375"/>
    <col min="20" max="20" width="10" customWidth="1"/>
  </cols>
  <sheetData>
    <row r="1" spans="1:38">
      <c r="A1" s="3" t="s">
        <v>1102</v>
      </c>
      <c r="B1" s="8" t="s">
        <v>67</v>
      </c>
      <c r="C1" s="8" t="s">
        <v>68</v>
      </c>
      <c r="D1" s="8" t="s">
        <v>69</v>
      </c>
      <c r="E1" s="8" t="s">
        <v>6</v>
      </c>
      <c r="F1" s="9" t="s">
        <v>70</v>
      </c>
      <c r="G1" s="9" t="s">
        <v>71</v>
      </c>
      <c r="H1" s="8" t="s">
        <v>73</v>
      </c>
      <c r="I1" s="26" t="s">
        <v>1107</v>
      </c>
      <c r="J1" s="26" t="s">
        <v>1108</v>
      </c>
      <c r="K1" s="26" t="s">
        <v>1109</v>
      </c>
      <c r="L1" s="26" t="s">
        <v>78</v>
      </c>
      <c r="M1" s="26" t="s">
        <v>1110</v>
      </c>
      <c r="N1" s="41" t="s">
        <v>1111</v>
      </c>
      <c r="O1" s="41" t="s">
        <v>1112</v>
      </c>
      <c r="P1" s="41" t="s">
        <v>1109</v>
      </c>
      <c r="Q1" s="41" t="s">
        <v>78</v>
      </c>
      <c r="R1" s="41" t="s">
        <v>1110</v>
      </c>
      <c r="S1" s="45" t="s">
        <v>1113</v>
      </c>
      <c r="T1" s="45" t="s">
        <v>1114</v>
      </c>
      <c r="U1" s="45" t="s">
        <v>1109</v>
      </c>
      <c r="V1" s="45" t="s">
        <v>78</v>
      </c>
      <c r="W1" s="45" t="s">
        <v>1110</v>
      </c>
      <c r="X1" s="25" t="s">
        <v>1115</v>
      </c>
      <c r="Y1" s="25" t="s">
        <v>1116</v>
      </c>
      <c r="Z1" s="25" t="s">
        <v>1109</v>
      </c>
      <c r="AA1" s="25" t="s">
        <v>78</v>
      </c>
      <c r="AB1" s="25" t="s">
        <v>1110</v>
      </c>
      <c r="AC1" s="46" t="s">
        <v>1117</v>
      </c>
      <c r="AD1" s="46" t="s">
        <v>1118</v>
      </c>
      <c r="AE1" s="46" t="s">
        <v>1109</v>
      </c>
      <c r="AF1" s="46" t="s">
        <v>78</v>
      </c>
      <c r="AG1" s="46" t="s">
        <v>1110</v>
      </c>
      <c r="AH1" s="47" t="s">
        <v>1119</v>
      </c>
      <c r="AI1" s="47" t="s">
        <v>75</v>
      </c>
      <c r="AJ1" s="47" t="s">
        <v>1120</v>
      </c>
      <c r="AK1" s="47" t="s">
        <v>1106</v>
      </c>
      <c r="AL1" s="47" t="s">
        <v>74</v>
      </c>
    </row>
    <row r="2" spans="1:38">
      <c r="A2" s="10" t="s">
        <v>1663</v>
      </c>
      <c r="B2" s="11" t="s">
        <v>1010</v>
      </c>
      <c r="C2" s="8" t="s">
        <v>467</v>
      </c>
      <c r="D2" s="8" t="s">
        <v>1664</v>
      </c>
      <c r="E2" s="8" t="s">
        <v>1665</v>
      </c>
      <c r="F2" s="12">
        <v>42727</v>
      </c>
      <c r="G2" s="12">
        <v>43091</v>
      </c>
      <c r="H2" s="8">
        <v>906182</v>
      </c>
      <c r="I2" s="8" t="s">
        <v>1666</v>
      </c>
      <c r="J2" s="8">
        <v>122843.7</v>
      </c>
      <c r="K2" s="42"/>
      <c r="L2" s="8"/>
      <c r="M2" s="8">
        <f>J2-K2</f>
        <v>122843.7</v>
      </c>
      <c r="N2" s="8" t="s">
        <v>1667</v>
      </c>
      <c r="O2" s="8">
        <v>286635.3</v>
      </c>
      <c r="P2" s="43"/>
      <c r="Q2" s="8"/>
      <c r="R2" s="8">
        <f>O2-P2</f>
        <v>286635.3</v>
      </c>
      <c r="S2" s="8" t="s">
        <v>1668</v>
      </c>
      <c r="T2" s="8">
        <v>496703</v>
      </c>
      <c r="U2" s="8"/>
      <c r="V2" s="8"/>
      <c r="W2" s="8">
        <f>T2-U2</f>
        <v>496703</v>
      </c>
      <c r="X2" s="8"/>
      <c r="Y2" s="8"/>
      <c r="Z2" s="8"/>
      <c r="AA2" s="8">
        <f>Z2</f>
        <v>0</v>
      </c>
      <c r="AB2" s="8">
        <f>Y2-Z2</f>
        <v>0</v>
      </c>
      <c r="AC2" s="8"/>
      <c r="AD2" s="8"/>
      <c r="AE2" s="8"/>
      <c r="AF2" s="8">
        <f>AE2</f>
        <v>0</v>
      </c>
      <c r="AG2" s="8">
        <f>AD2-AE2</f>
        <v>0</v>
      </c>
      <c r="AH2" s="8">
        <f t="shared" ref="AH2:AJ2" si="0">K2+P2+U2+Z2+AE2</f>
        <v>0</v>
      </c>
      <c r="AI2" s="8">
        <f t="shared" si="0"/>
        <v>0</v>
      </c>
      <c r="AJ2" s="8">
        <f t="shared" si="0"/>
        <v>906182</v>
      </c>
      <c r="AK2" s="3"/>
      <c r="AL2" s="3"/>
    </row>
    <row r="3" spans="1:38">
      <c r="A3" s="13" t="s">
        <v>1121</v>
      </c>
      <c r="B3" s="13" t="s">
        <v>1669</v>
      </c>
      <c r="C3" s="14" t="s">
        <v>1670</v>
      </c>
      <c r="D3" s="3" t="s">
        <v>1671</v>
      </c>
      <c r="E3" s="3" t="s">
        <v>1672</v>
      </c>
      <c r="F3" s="9" t="s">
        <v>1673</v>
      </c>
      <c r="G3" s="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>
      <c r="A4" s="3" t="s">
        <v>1121</v>
      </c>
      <c r="B4" s="15" t="s">
        <v>1155</v>
      </c>
      <c r="C4" s="13" t="s">
        <v>1156</v>
      </c>
      <c r="D4" s="3" t="s">
        <v>1674</v>
      </c>
      <c r="E4" s="3" t="s">
        <v>1675</v>
      </c>
      <c r="F4" s="16">
        <v>42809</v>
      </c>
      <c r="G4" s="16">
        <v>43585</v>
      </c>
      <c r="H4" s="3">
        <v>560000</v>
      </c>
      <c r="I4" s="3" t="s">
        <v>1676</v>
      </c>
      <c r="J4" s="3">
        <v>392000</v>
      </c>
      <c r="K4" s="3">
        <v>392000</v>
      </c>
      <c r="L4" s="3">
        <v>392000</v>
      </c>
      <c r="M4" s="3"/>
      <c r="N4" s="3" t="s">
        <v>1677</v>
      </c>
      <c r="O4" s="3">
        <v>140000</v>
      </c>
      <c r="P4" s="3">
        <v>140000</v>
      </c>
      <c r="Q4" s="3">
        <v>140000</v>
      </c>
      <c r="R4" s="3"/>
      <c r="S4" s="3" t="s">
        <v>1678</v>
      </c>
      <c r="T4" s="3">
        <v>28000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="4" customFormat="1" spans="1:38">
      <c r="A5" s="17" t="s">
        <v>1121</v>
      </c>
      <c r="B5" s="17" t="s">
        <v>414</v>
      </c>
      <c r="C5" s="17" t="s">
        <v>415</v>
      </c>
      <c r="D5" s="17" t="s">
        <v>1679</v>
      </c>
      <c r="E5" s="17" t="s">
        <v>1680</v>
      </c>
      <c r="F5" s="18">
        <v>42826</v>
      </c>
      <c r="G5" s="18">
        <v>42856</v>
      </c>
      <c r="H5" s="17">
        <v>29000</v>
      </c>
      <c r="I5" s="17" t="s">
        <v>1681</v>
      </c>
      <c r="J5" s="17">
        <v>29000</v>
      </c>
      <c r="K5" s="17">
        <v>29000</v>
      </c>
      <c r="L5" s="17">
        <v>29000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="4" customFormat="1" spans="1:38">
      <c r="A6" s="17" t="s">
        <v>1121</v>
      </c>
      <c r="B6" s="17" t="s">
        <v>414</v>
      </c>
      <c r="C6" s="17" t="s">
        <v>415</v>
      </c>
      <c r="D6" s="17" t="s">
        <v>1682</v>
      </c>
      <c r="E6" s="17" t="s">
        <v>1683</v>
      </c>
      <c r="F6" s="18">
        <v>42887</v>
      </c>
      <c r="G6" s="18">
        <v>42916</v>
      </c>
      <c r="H6" s="17">
        <v>30600</v>
      </c>
      <c r="I6" s="17" t="s">
        <v>1681</v>
      </c>
      <c r="J6" s="17">
        <v>30600</v>
      </c>
      <c r="K6" s="17">
        <v>30600</v>
      </c>
      <c r="L6" s="17">
        <v>30600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>
      <c r="A7" s="19" t="s">
        <v>1121</v>
      </c>
      <c r="B7" s="20" t="s">
        <v>1205</v>
      </c>
      <c r="C7" s="13" t="s">
        <v>1206</v>
      </c>
      <c r="D7" s="3"/>
      <c r="E7" s="3" t="s">
        <v>1684</v>
      </c>
      <c r="F7" s="16">
        <v>42814</v>
      </c>
      <c r="G7" s="16">
        <v>42860</v>
      </c>
      <c r="H7" s="3">
        <v>210000</v>
      </c>
      <c r="I7" s="3" t="s">
        <v>1685</v>
      </c>
      <c r="J7" s="3">
        <v>210000</v>
      </c>
      <c r="K7" s="3">
        <v>124200</v>
      </c>
      <c r="L7" s="3">
        <v>210000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="4" customFormat="1" spans="1:38">
      <c r="A8" s="17" t="s">
        <v>1358</v>
      </c>
      <c r="B8" s="17" t="s">
        <v>1205</v>
      </c>
      <c r="C8" s="17" t="s">
        <v>1206</v>
      </c>
      <c r="D8" s="17"/>
      <c r="E8" s="17" t="s">
        <v>1686</v>
      </c>
      <c r="F8" s="21"/>
      <c r="G8" s="21"/>
      <c r="H8" s="17">
        <v>77200</v>
      </c>
      <c r="I8" s="17" t="s">
        <v>1687</v>
      </c>
      <c r="J8" s="17">
        <v>77200</v>
      </c>
      <c r="K8" s="17">
        <v>77200</v>
      </c>
      <c r="L8" s="17">
        <v>77200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="4" customFormat="1" spans="1:38">
      <c r="A9" s="17" t="s">
        <v>513</v>
      </c>
      <c r="B9" s="17" t="s">
        <v>1205</v>
      </c>
      <c r="C9" s="17" t="s">
        <v>1206</v>
      </c>
      <c r="D9" s="17"/>
      <c r="E9" s="17" t="s">
        <v>1688</v>
      </c>
      <c r="F9" s="18">
        <v>42814</v>
      </c>
      <c r="G9" s="18">
        <v>43178</v>
      </c>
      <c r="H9" s="17">
        <v>56000</v>
      </c>
      <c r="I9" s="17" t="s">
        <v>1689</v>
      </c>
      <c r="J9" s="17">
        <v>16800</v>
      </c>
      <c r="K9" s="17">
        <v>56000</v>
      </c>
      <c r="L9" s="17">
        <v>56000</v>
      </c>
      <c r="M9" s="17"/>
      <c r="N9" s="17" t="s">
        <v>1690</v>
      </c>
      <c r="O9" s="17">
        <v>39200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="4" customFormat="1" spans="1:38">
      <c r="A10" s="17" t="s">
        <v>1121</v>
      </c>
      <c r="B10" s="22" t="s">
        <v>1003</v>
      </c>
      <c r="C10" s="22" t="s">
        <v>294</v>
      </c>
      <c r="D10" s="17"/>
      <c r="E10" s="17" t="s">
        <v>1691</v>
      </c>
      <c r="F10" s="18">
        <v>42815</v>
      </c>
      <c r="G10" s="18">
        <v>43544</v>
      </c>
      <c r="H10" s="17">
        <v>1198000</v>
      </c>
      <c r="I10" s="17" t="s">
        <v>1692</v>
      </c>
      <c r="J10" s="17">
        <v>599000</v>
      </c>
      <c r="K10" s="17">
        <v>599000</v>
      </c>
      <c r="L10" s="17">
        <v>599000</v>
      </c>
      <c r="M10" s="17"/>
      <c r="N10" s="17" t="s">
        <v>1693</v>
      </c>
      <c r="O10" s="17">
        <v>179700</v>
      </c>
      <c r="P10" s="17">
        <v>179700</v>
      </c>
      <c r="Q10" s="17">
        <v>179700</v>
      </c>
      <c r="R10" s="17"/>
      <c r="S10" s="17" t="s">
        <v>1694</v>
      </c>
      <c r="T10" s="17">
        <v>359400</v>
      </c>
      <c r="U10" s="17">
        <v>359400</v>
      </c>
      <c r="V10" s="17"/>
      <c r="W10" s="17"/>
      <c r="X10" s="17" t="s">
        <v>1695</v>
      </c>
      <c r="Y10" s="17">
        <v>59900</v>
      </c>
      <c r="Z10" s="17">
        <v>59900</v>
      </c>
      <c r="AA10" s="17">
        <v>59900</v>
      </c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 t="s">
        <v>1696</v>
      </c>
    </row>
    <row r="11" s="4" customFormat="1" spans="1:38">
      <c r="A11" s="17" t="s">
        <v>1121</v>
      </c>
      <c r="B11" s="22" t="s">
        <v>1697</v>
      </c>
      <c r="C11" s="17" t="s">
        <v>1698</v>
      </c>
      <c r="D11" s="17"/>
      <c r="E11" s="17" t="s">
        <v>1699</v>
      </c>
      <c r="F11" s="18">
        <v>42891</v>
      </c>
      <c r="G11" s="18">
        <v>42916</v>
      </c>
      <c r="H11" s="17">
        <v>22135</v>
      </c>
      <c r="I11" s="17" t="s">
        <v>1700</v>
      </c>
      <c r="J11" s="17">
        <v>21028.25</v>
      </c>
      <c r="K11" s="17">
        <v>21028.25</v>
      </c>
      <c r="L11" s="17">
        <v>21028.25</v>
      </c>
      <c r="M11" s="17"/>
      <c r="N11" s="17" t="s">
        <v>1701</v>
      </c>
      <c r="O11" s="17">
        <v>1106.75</v>
      </c>
      <c r="P11" s="17">
        <v>1106.75</v>
      </c>
      <c r="Q11" s="17">
        <v>1106.75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</row>
    <row r="12" customFormat="1"/>
    <row r="13" s="4" customFormat="1" spans="1:38">
      <c r="A13" s="17" t="s">
        <v>1121</v>
      </c>
      <c r="B13" s="22" t="s">
        <v>1006</v>
      </c>
      <c r="C13" s="23" t="s">
        <v>408</v>
      </c>
      <c r="D13" s="22" t="s">
        <v>1702</v>
      </c>
      <c r="E13" s="22" t="s">
        <v>1703</v>
      </c>
      <c r="F13" s="18">
        <v>42970</v>
      </c>
      <c r="G13" s="18">
        <v>42990</v>
      </c>
      <c r="H13" s="22">
        <v>60000</v>
      </c>
      <c r="I13" s="17" t="s">
        <v>1704</v>
      </c>
      <c r="J13" s="17">
        <v>30000</v>
      </c>
      <c r="K13" s="17">
        <v>30000</v>
      </c>
      <c r="L13" s="17">
        <v>30000</v>
      </c>
      <c r="M13" s="17"/>
      <c r="N13" s="17" t="s">
        <v>1705</v>
      </c>
      <c r="O13" s="17">
        <f>H13*0.45</f>
        <v>27000</v>
      </c>
      <c r="P13" s="17">
        <v>27000</v>
      </c>
      <c r="Q13" s="17">
        <v>30000</v>
      </c>
      <c r="R13" s="17"/>
      <c r="S13" s="17" t="s">
        <v>1706</v>
      </c>
      <c r="T13" s="17">
        <f>H13*0.05</f>
        <v>3000</v>
      </c>
      <c r="U13" s="17">
        <v>3000</v>
      </c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="4" customFormat="1" spans="1:38">
      <c r="A14" s="17" t="s">
        <v>1121</v>
      </c>
      <c r="B14" s="22" t="s">
        <v>1006</v>
      </c>
      <c r="C14" s="22" t="s">
        <v>408</v>
      </c>
      <c r="D14" s="17"/>
      <c r="E14" s="22" t="s">
        <v>1707</v>
      </c>
      <c r="F14" s="24">
        <v>42887</v>
      </c>
      <c r="G14" s="24">
        <v>42917</v>
      </c>
      <c r="H14" s="22">
        <v>65641</v>
      </c>
      <c r="I14" s="17" t="s">
        <v>1708</v>
      </c>
      <c r="J14" s="17">
        <v>65641</v>
      </c>
      <c r="K14" s="17">
        <v>65641</v>
      </c>
      <c r="L14" s="17">
        <v>65641</v>
      </c>
      <c r="M14" s="17"/>
      <c r="N14" s="17" t="s">
        <v>1709</v>
      </c>
      <c r="O14" s="17">
        <v>3285.05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 t="s">
        <v>1710</v>
      </c>
    </row>
    <row r="15" s="4" customFormat="1" spans="1:38">
      <c r="A15" s="17" t="s">
        <v>1121</v>
      </c>
      <c r="B15" s="22" t="s">
        <v>1711</v>
      </c>
      <c r="C15" s="22" t="s">
        <v>1712</v>
      </c>
      <c r="D15" s="17"/>
      <c r="E15" s="22" t="s">
        <v>1713</v>
      </c>
      <c r="F15" s="18">
        <v>42801</v>
      </c>
      <c r="G15" s="18">
        <v>42801</v>
      </c>
      <c r="H15" s="22">
        <v>71000</v>
      </c>
      <c r="I15" s="17" t="s">
        <v>1714</v>
      </c>
      <c r="J15" s="17">
        <f>71000*0.2</f>
        <v>14200</v>
      </c>
      <c r="K15" s="17">
        <f>14200+56800</f>
        <v>71000</v>
      </c>
      <c r="L15" s="17">
        <v>71000</v>
      </c>
      <c r="M15" s="17"/>
      <c r="N15" s="17" t="s">
        <v>1715</v>
      </c>
      <c r="O15" s="17">
        <f>71000*0.8</f>
        <v>56800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="4" customFormat="1" spans="1:38">
      <c r="A16" s="17" t="s">
        <v>1121</v>
      </c>
      <c r="B16" s="22" t="s">
        <v>1716</v>
      </c>
      <c r="C16" s="22" t="s">
        <v>1717</v>
      </c>
      <c r="D16" s="17" t="s">
        <v>1718</v>
      </c>
      <c r="E16" s="22" t="s">
        <v>1719</v>
      </c>
      <c r="F16" s="18">
        <v>42957</v>
      </c>
      <c r="G16" s="21"/>
      <c r="H16" s="22">
        <v>488000</v>
      </c>
      <c r="I16" s="17" t="s">
        <v>1720</v>
      </c>
      <c r="J16" s="17">
        <v>97600</v>
      </c>
      <c r="K16" s="17">
        <v>97600</v>
      </c>
      <c r="L16" s="17">
        <f>97600*5</f>
        <v>488000</v>
      </c>
      <c r="M16" s="17"/>
      <c r="N16" s="17" t="s">
        <v>1721</v>
      </c>
      <c r="O16" s="17">
        <v>341600</v>
      </c>
      <c r="P16" s="17">
        <v>341600</v>
      </c>
      <c r="Q16" s="17"/>
      <c r="R16" s="17"/>
      <c r="S16" s="17" t="s">
        <v>1722</v>
      </c>
      <c r="T16" s="17">
        <v>48800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38">
      <c r="A17" s="3" t="s">
        <v>1121</v>
      </c>
      <c r="B17" s="25" t="s">
        <v>1002</v>
      </c>
      <c r="C17" s="26" t="s">
        <v>1122</v>
      </c>
      <c r="D17" s="27" t="s">
        <v>1723</v>
      </c>
      <c r="E17" s="27" t="s">
        <v>1724</v>
      </c>
      <c r="F17" s="16">
        <v>42856</v>
      </c>
      <c r="G17" s="16">
        <v>42865</v>
      </c>
      <c r="H17" s="27">
        <v>58000</v>
      </c>
      <c r="I17" s="3" t="s">
        <v>1725</v>
      </c>
      <c r="J17" s="3">
        <v>11600</v>
      </c>
      <c r="K17" s="3">
        <v>11600</v>
      </c>
      <c r="L17" s="3">
        <v>58000</v>
      </c>
      <c r="M17" s="3"/>
      <c r="N17" s="3" t="s">
        <v>1726</v>
      </c>
      <c r="O17" s="3">
        <v>40600</v>
      </c>
      <c r="P17" s="3">
        <v>40600</v>
      </c>
      <c r="Q17" s="3"/>
      <c r="R17" s="3"/>
      <c r="S17" s="3" t="s">
        <v>1727</v>
      </c>
      <c r="T17" s="3">
        <v>5800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10" t="s">
        <v>1301</v>
      </c>
      <c r="B18" s="11" t="s">
        <v>1728</v>
      </c>
      <c r="C18" s="27" t="s">
        <v>838</v>
      </c>
      <c r="D18" s="3"/>
      <c r="E18" s="27" t="s">
        <v>1729</v>
      </c>
      <c r="F18" s="16">
        <v>42810</v>
      </c>
      <c r="G18" s="16">
        <v>42860</v>
      </c>
      <c r="H18" s="27">
        <v>343200</v>
      </c>
      <c r="I18" s="3" t="s">
        <v>1730</v>
      </c>
      <c r="J18" s="3">
        <v>68640</v>
      </c>
      <c r="K18" s="3">
        <v>68640</v>
      </c>
      <c r="L18" s="3"/>
      <c r="M18" s="3"/>
      <c r="N18" s="3" t="s">
        <v>1731</v>
      </c>
      <c r="O18" s="44">
        <v>257400</v>
      </c>
      <c r="P18" s="3"/>
      <c r="Q18" s="3"/>
      <c r="R18" s="3"/>
      <c r="S18" s="3" t="s">
        <v>1732</v>
      </c>
      <c r="T18" s="3">
        <v>17160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="4" customFormat="1" spans="1:38">
      <c r="A19" s="17" t="s">
        <v>1121</v>
      </c>
      <c r="B19" s="22" t="s">
        <v>557</v>
      </c>
      <c r="C19" s="22" t="s">
        <v>838</v>
      </c>
      <c r="D19" s="17"/>
      <c r="E19" s="22" t="s">
        <v>1733</v>
      </c>
      <c r="F19" s="18">
        <v>42810</v>
      </c>
      <c r="G19" s="18">
        <v>42870</v>
      </c>
      <c r="H19" s="22">
        <v>280000</v>
      </c>
      <c r="I19" s="17" t="s">
        <v>1734</v>
      </c>
      <c r="J19" s="17">
        <v>56000</v>
      </c>
      <c r="K19" s="17">
        <v>56000</v>
      </c>
      <c r="L19" s="17">
        <v>56000</v>
      </c>
      <c r="M19" s="17"/>
      <c r="N19" s="17" t="s">
        <v>1735</v>
      </c>
      <c r="O19" s="17">
        <v>210000</v>
      </c>
      <c r="P19" s="17">
        <v>210000</v>
      </c>
      <c r="Q19" s="17">
        <v>224000</v>
      </c>
      <c r="R19" s="17"/>
      <c r="S19" s="17" t="s">
        <v>1736</v>
      </c>
      <c r="T19" s="17">
        <v>14000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="4" customFormat="1" spans="1:38">
      <c r="A20" s="17" t="s">
        <v>1121</v>
      </c>
      <c r="B20" s="22" t="s">
        <v>1737</v>
      </c>
      <c r="C20" s="22" t="s">
        <v>1738</v>
      </c>
      <c r="D20" s="17"/>
      <c r="E20" s="22" t="s">
        <v>1739</v>
      </c>
      <c r="F20" s="18">
        <v>43009</v>
      </c>
      <c r="G20" s="18">
        <v>43054</v>
      </c>
      <c r="H20" s="22">
        <v>473200.6</v>
      </c>
      <c r="I20" s="17" t="s">
        <v>1740</v>
      </c>
      <c r="J20" s="17">
        <v>175000</v>
      </c>
      <c r="K20" s="17">
        <v>175000</v>
      </c>
      <c r="L20" s="17">
        <f>58164+116836</f>
        <v>175000</v>
      </c>
      <c r="M20" s="17"/>
      <c r="N20" s="17" t="s">
        <v>1741</v>
      </c>
      <c r="O20" s="17">
        <v>298200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>
      <c r="A21" s="3" t="s">
        <v>1121</v>
      </c>
      <c r="B21" s="25" t="s">
        <v>1742</v>
      </c>
      <c r="C21" s="26" t="s">
        <v>117</v>
      </c>
      <c r="D21" s="3" t="s">
        <v>1743</v>
      </c>
      <c r="E21" s="27" t="s">
        <v>1744</v>
      </c>
      <c r="F21" s="16">
        <v>43003</v>
      </c>
      <c r="G21" s="16">
        <v>43054</v>
      </c>
      <c r="H21" s="27">
        <v>248085</v>
      </c>
      <c r="I21" s="3" t="s">
        <v>1745</v>
      </c>
      <c r="J21" s="3">
        <v>124042.5</v>
      </c>
      <c r="K21" s="3">
        <v>124024.5</v>
      </c>
      <c r="L21" s="3">
        <v>124042.5</v>
      </c>
      <c r="M21" s="3"/>
      <c r="N21" s="3" t="s">
        <v>1746</v>
      </c>
      <c r="O21" s="3">
        <v>111638.25</v>
      </c>
      <c r="P21" s="3"/>
      <c r="Q21" s="3"/>
      <c r="R21" s="3"/>
      <c r="S21" s="3" t="s">
        <v>1747</v>
      </c>
      <c r="T21" s="3">
        <v>12404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ht="12" customHeight="1" spans="1:38">
      <c r="A22" s="3" t="s">
        <v>1121</v>
      </c>
      <c r="B22" s="25" t="s">
        <v>1716</v>
      </c>
      <c r="C22" s="28" t="s">
        <v>1717</v>
      </c>
      <c r="D22" s="3" t="s">
        <v>1748</v>
      </c>
      <c r="E22" s="27" t="s">
        <v>1749</v>
      </c>
      <c r="F22" s="16">
        <v>42979</v>
      </c>
      <c r="G22" s="16">
        <v>43008</v>
      </c>
      <c r="H22" s="27">
        <v>72000</v>
      </c>
      <c r="I22" s="3" t="s">
        <v>1750</v>
      </c>
      <c r="J22" s="3">
        <v>72000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="4" customFormat="1" ht="12" customHeight="1" spans="1:12">
      <c r="A23" s="17" t="s">
        <v>1121</v>
      </c>
      <c r="B23" s="22" t="s">
        <v>1003</v>
      </c>
      <c r="C23" s="22" t="s">
        <v>294</v>
      </c>
      <c r="D23" s="4" t="s">
        <v>1751</v>
      </c>
      <c r="E23" s="29" t="s">
        <v>1752</v>
      </c>
      <c r="F23" s="30"/>
      <c r="G23" s="30">
        <v>43028</v>
      </c>
      <c r="H23" s="29">
        <v>92137.5</v>
      </c>
      <c r="J23" s="4">
        <v>92137.5</v>
      </c>
      <c r="K23" s="4">
        <v>92137.5</v>
      </c>
      <c r="L23" s="4">
        <v>92137.5</v>
      </c>
    </row>
    <row r="24" s="5" customFormat="1" ht="12" customHeight="1" spans="1:12">
      <c r="A24" s="3" t="s">
        <v>1121</v>
      </c>
      <c r="B24" s="31" t="s">
        <v>1753</v>
      </c>
      <c r="C24" s="32" t="s">
        <v>1754</v>
      </c>
      <c r="D24" s="5" t="s">
        <v>1755</v>
      </c>
      <c r="E24" s="33" t="s">
        <v>1756</v>
      </c>
      <c r="F24" s="34">
        <v>43052</v>
      </c>
      <c r="G24" s="35">
        <v>43097</v>
      </c>
      <c r="H24" s="33">
        <v>358080</v>
      </c>
      <c r="J24" s="5">
        <v>193080</v>
      </c>
      <c r="K24" s="5">
        <v>193080</v>
      </c>
      <c r="L24" s="5">
        <v>193080</v>
      </c>
    </row>
    <row r="25" s="5" customFormat="1" ht="12" customHeight="1" spans="1:17">
      <c r="A25" s="3" t="s">
        <v>1121</v>
      </c>
      <c r="B25" s="33" t="s">
        <v>1757</v>
      </c>
      <c r="C25" s="33" t="s">
        <v>1758</v>
      </c>
      <c r="D25" s="5" t="s">
        <v>1759</v>
      </c>
      <c r="E25" s="33" t="s">
        <v>1760</v>
      </c>
      <c r="F25" s="34">
        <v>43061</v>
      </c>
      <c r="G25" s="34">
        <v>43086</v>
      </c>
      <c r="H25" s="33">
        <v>443600</v>
      </c>
      <c r="J25" s="5">
        <v>177440</v>
      </c>
      <c r="K25" s="5">
        <v>177440</v>
      </c>
      <c r="L25" s="5">
        <v>177440</v>
      </c>
      <c r="O25" s="5">
        <v>243980</v>
      </c>
      <c r="Q25" s="5">
        <v>243980</v>
      </c>
    </row>
    <row r="26" s="5" customFormat="1" ht="12" customHeight="1" spans="1:20">
      <c r="A26" s="3" t="s">
        <v>1121</v>
      </c>
      <c r="B26" s="33" t="s">
        <v>919</v>
      </c>
      <c r="C26" s="33" t="s">
        <v>920</v>
      </c>
      <c r="D26" s="5" t="s">
        <v>1761</v>
      </c>
      <c r="E26" s="33" t="s">
        <v>1762</v>
      </c>
      <c r="F26" s="34">
        <v>43069</v>
      </c>
      <c r="G26" s="34"/>
      <c r="H26" s="5">
        <v>295000</v>
      </c>
      <c r="I26" s="5" t="s">
        <v>1763</v>
      </c>
      <c r="J26" s="5">
        <v>147500</v>
      </c>
      <c r="K26" s="5">
        <v>147500</v>
      </c>
      <c r="L26" s="5">
        <v>147500</v>
      </c>
      <c r="N26" s="5" t="s">
        <v>1764</v>
      </c>
      <c r="O26" s="5">
        <v>118000</v>
      </c>
      <c r="S26" s="5" t="s">
        <v>1765</v>
      </c>
      <c r="T26" s="5">
        <v>29500</v>
      </c>
    </row>
    <row r="27" s="5" customFormat="1" ht="12" customHeight="1" spans="1:12">
      <c r="A27"/>
      <c r="B27"/>
      <c r="C27"/>
      <c r="D27"/>
      <c r="E27"/>
      <c r="F27"/>
      <c r="G27"/>
      <c r="H27"/>
      <c r="I27"/>
      <c r="J27"/>
      <c r="K27"/>
      <c r="L27"/>
    </row>
    <row r="28" s="5" customFormat="1" ht="12" customHeight="1" spans="1:7">
      <c r="A28" s="3"/>
      <c r="B28" s="33"/>
      <c r="C28" s="33"/>
      <c r="E28" s="33"/>
      <c r="F28" s="34"/>
      <c r="G28" s="34"/>
    </row>
    <row r="29" s="5" customFormat="1" ht="12" customHeight="1" spans="1:7">
      <c r="A29" s="3"/>
      <c r="B29" s="33"/>
      <c r="C29" s="33"/>
      <c r="E29" s="33"/>
      <c r="F29" s="34"/>
      <c r="G29" s="34"/>
    </row>
    <row r="30" s="6" customFormat="1" spans="6:22">
      <c r="F30" s="36"/>
      <c r="G30" s="36"/>
      <c r="K30" s="6">
        <f>SUM(K2:K29)</f>
        <v>2638691.25</v>
      </c>
      <c r="L30" s="6">
        <f>SUM(L2:L29)</f>
        <v>3092669.25</v>
      </c>
      <c r="P30" s="6">
        <f t="shared" ref="P30:U30" si="1">SUM(P2:P26)</f>
        <v>940006.75</v>
      </c>
      <c r="Q30" s="6">
        <f t="shared" si="1"/>
        <v>818786.75</v>
      </c>
      <c r="U30" s="6">
        <f t="shared" si="1"/>
        <v>362400</v>
      </c>
      <c r="V30" s="6">
        <f>SUM(V2:V22)</f>
        <v>0</v>
      </c>
    </row>
    <row r="31" customFormat="1" spans="6:8">
      <c r="F31" s="7"/>
      <c r="G31" s="7"/>
      <c r="H31" s="33">
        <v>5355261.1</v>
      </c>
    </row>
    <row r="32" customFormat="1"/>
    <row r="33" spans="2:3">
      <c r="B33" s="37"/>
      <c r="C33" t="s">
        <v>1766</v>
      </c>
    </row>
    <row r="34" spans="2:3">
      <c r="B34" s="4"/>
      <c r="C34" t="s">
        <v>1767</v>
      </c>
    </row>
    <row r="35" customFormat="1" spans="2:7">
      <c r="B35" s="38"/>
      <c r="C35" t="s">
        <v>271</v>
      </c>
      <c r="F35" s="7"/>
      <c r="G35" s="7" t="s">
        <v>1393</v>
      </c>
    </row>
    <row r="36" spans="2:3">
      <c r="B36" s="39"/>
      <c r="C36" t="s">
        <v>1768</v>
      </c>
    </row>
    <row r="37" spans="2:3">
      <c r="B37" s="40"/>
      <c r="C37" t="s">
        <v>1769</v>
      </c>
    </row>
  </sheetData>
  <pageMargins left="0.75" right="0.75" top="1" bottom="1" header="0.511805555555556" footer="0.511805555555556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F14" sqref="F14"/>
    </sheetView>
  </sheetViews>
  <sheetFormatPr defaultColWidth="9" defaultRowHeight="13.5" outlineLevelCol="3"/>
  <cols>
    <col min="1" max="1" width="29.75" customWidth="1"/>
    <col min="2" max="2" width="27.125" customWidth="1"/>
    <col min="3" max="3" width="28.75" customWidth="1"/>
    <col min="4" max="4" width="24.75" customWidth="1"/>
    <col min="5" max="5" width="24.25" customWidth="1"/>
  </cols>
  <sheetData>
    <row r="1" ht="44" customHeight="1" spans="1:4">
      <c r="A1" s="1" t="s">
        <v>1770</v>
      </c>
      <c r="B1" s="1" t="s">
        <v>1771</v>
      </c>
      <c r="C1" s="1" t="s">
        <v>1772</v>
      </c>
      <c r="D1" s="1" t="s">
        <v>1773</v>
      </c>
    </row>
    <row r="2" ht="55" customHeight="1" spans="1:4">
      <c r="A2" s="2" t="s">
        <v>1774</v>
      </c>
      <c r="B2" s="2" t="s">
        <v>1775</v>
      </c>
      <c r="C2" s="2" t="s">
        <v>1776</v>
      </c>
      <c r="D2" s="3" t="s">
        <v>1777</v>
      </c>
    </row>
    <row r="3" ht="29" customHeight="1" spans="1:4">
      <c r="A3" t="s">
        <v>1008</v>
      </c>
      <c r="B3" t="s">
        <v>84</v>
      </c>
      <c r="C3" t="s">
        <v>116</v>
      </c>
      <c r="D3" t="s">
        <v>92</v>
      </c>
    </row>
    <row r="4" ht="23" customHeight="1" spans="1:4">
      <c r="A4" t="s">
        <v>174</v>
      </c>
      <c r="B4" t="s">
        <v>125</v>
      </c>
      <c r="C4" t="s">
        <v>131</v>
      </c>
      <c r="D4" t="s">
        <v>281</v>
      </c>
    </row>
    <row r="5" spans="1:4">
      <c r="A5" t="s">
        <v>255</v>
      </c>
      <c r="B5" t="s">
        <v>1778</v>
      </c>
      <c r="C5" t="s">
        <v>147</v>
      </c>
      <c r="D5" t="s">
        <v>324</v>
      </c>
    </row>
    <row r="6" spans="1:4">
      <c r="A6" t="s">
        <v>1779</v>
      </c>
      <c r="C6" t="s">
        <v>159</v>
      </c>
      <c r="D6" t="s">
        <v>331</v>
      </c>
    </row>
    <row r="7" spans="1:4">
      <c r="A7" t="s">
        <v>1006</v>
      </c>
      <c r="C7" t="s">
        <v>1780</v>
      </c>
      <c r="D7" t="s">
        <v>356</v>
      </c>
    </row>
    <row r="8" spans="3:4">
      <c r="C8" t="s">
        <v>1003</v>
      </c>
      <c r="D8" t="s">
        <v>364</v>
      </c>
    </row>
    <row r="9" spans="3:3">
      <c r="C9" t="s">
        <v>316</v>
      </c>
    </row>
    <row r="10" spans="3:3">
      <c r="C10" t="s">
        <v>309</v>
      </c>
    </row>
    <row r="11" spans="3:3">
      <c r="C11" t="s">
        <v>345</v>
      </c>
    </row>
    <row r="12" spans="3:3">
      <c r="C12" t="s">
        <v>371</v>
      </c>
    </row>
    <row r="13" spans="3:3">
      <c r="C13" t="s">
        <v>1781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客服部最终提成计算表</vt:lpstr>
      <vt:lpstr>18年合同登记表</vt:lpstr>
      <vt:lpstr>月度提成计提表</vt:lpstr>
      <vt:lpstr>客户单位回访登记表</vt:lpstr>
      <vt:lpstr>17年合同登记表</vt:lpstr>
      <vt:lpstr>17年工程合同登记表</vt:lpstr>
      <vt:lpstr>客户分类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逐心</cp:lastModifiedBy>
  <dcterms:created xsi:type="dcterms:W3CDTF">2018-01-23T02:43:00Z</dcterms:created>
  <dcterms:modified xsi:type="dcterms:W3CDTF">2021-08-27T03:42:57Z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  <property fmtid="{D5CDD505-2E9C-101B-9397-08002B2CF9AE}" pid="4" name="ICV">
    <vt:lpwstr>AB1686163B9341FAA3DEBCB6CA782C6A</vt:lpwstr>
  </property>
</Properties>
</file>